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тали.DESKTOP-GO6V0C6\Downloads\"/>
    </mc:Choice>
  </mc:AlternateContent>
  <bookViews>
    <workbookView xWindow="0" yWindow="0" windowWidth="28800" windowHeight="11130" tabRatio="838" activeTab="2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8" r:id="rId4"/>
    <sheet name="Розшифровка кап" sheetId="24" r:id="rId5"/>
    <sheet name="Розшифровка за джерелами " sheetId="2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localSheetId="3" hidden="1">[1]GDP!#REF!</definedName>
    <definedName name="__123Graph_XGRAPH3" localSheetId="5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3">#REF!</definedName>
    <definedName name="BuiltIn_Print_Area___1___1" localSheetId="5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3">#REF!</definedName>
    <definedName name="Cost_Category_National_ID" localSheetId="5">#REF!</definedName>
    <definedName name="Cost_Category_National_ID">#REF!</definedName>
    <definedName name="Cе511" localSheetId="3">#REF!</definedName>
    <definedName name="Cе511" localSheetId="5">#REF!</definedName>
    <definedName name="Cе511">#REF!</definedName>
    <definedName name="d">'[9]МТР Газ України'!$B$4</definedName>
    <definedName name="dCPIb" localSheetId="3">[10]попер_роз!#REF!</definedName>
    <definedName name="dCPIb" localSheetId="5">[10]попер_роз!#REF!</definedName>
    <definedName name="dCPIb">[10]попер_роз!#REF!</definedName>
    <definedName name="dPPIb" localSheetId="3">[10]попер_роз!#REF!</definedName>
    <definedName name="dPPIb" localSheetId="5">[10]попер_роз!#REF!</definedName>
    <definedName name="dPPIb">[10]попер_роз!#REF!</definedName>
    <definedName name="ds" localSheetId="3">'[11]7  Інші витрати'!#REF!</definedName>
    <definedName name="ds" localSheetId="5">'[11]7  Інші витрати'!#REF!</definedName>
    <definedName name="ds">'[11]7  Інші витрати'!#REF!</definedName>
    <definedName name="Fact_Type_ID" localSheetId="3">#REF!</definedName>
    <definedName name="Fact_Type_ID" localSheetId="5">#REF!</definedName>
    <definedName name="Fact_Type_ID">#REF!</definedName>
    <definedName name="G">'[12]МТР Газ України'!$B$1</definedName>
    <definedName name="ij1sssss" localSheetId="3">'[13]7  Інші витрати'!#REF!</definedName>
    <definedName name="ij1sssss" localSheetId="5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3">'[17]7  Інші витрати'!#REF!</definedName>
    <definedName name="Load_ID_10" localSheetId="5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nt">'[11]7  Інші витрати'!#REF!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3">[14]!ShowFil</definedName>
    <definedName name="ShowFil">[14]!ShowFil</definedName>
    <definedName name="SU_ID" localSheetId="3">#REF!</definedName>
    <definedName name="SU_ID" localSheetId="5">#REF!</definedName>
    <definedName name="SU_ID">#REF!</definedName>
    <definedName name="Time_ID">'[16]МТР Газ України'!$B$1</definedName>
    <definedName name="Time_ID_10" localSheetId="3">'[17]7  Інші витрати'!#REF!</definedName>
    <definedName name="Time_ID_10" localSheetId="5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3">'[17]7  Інші витрати'!#REF!</definedName>
    <definedName name="Time_ID0_10" localSheetId="5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3">#REF!</definedName>
    <definedName name="ttttttt" localSheetId="5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3">#REF!</definedName>
    <definedName name="yyyy" localSheetId="5">#REF!</definedName>
    <definedName name="yyyy">#REF!</definedName>
    <definedName name="zx">'[4]МТР Газ України'!$F$1</definedName>
    <definedName name="zxc">[5]Inform!$E$38</definedName>
    <definedName name="а" localSheetId="3">'[13]7  Інші витрати'!#REF!</definedName>
    <definedName name="а" localSheetId="5">'[13]7  Інші витрати'!#REF!</definedName>
    <definedName name="а">'[13]7  Інші витрати'!#REF!</definedName>
    <definedName name="ав" localSheetId="3">#REF!</definedName>
    <definedName name="ав" localSheetId="5">#REF!</definedName>
    <definedName name="ав">#REF!</definedName>
    <definedName name="аен">'[24]МТР Газ України'!$B$4</definedName>
    <definedName name="б">'[13]7  Інші витрати'!#REF!</definedName>
    <definedName name="_xlnm.Database">'[25]Ener '!$A$1:$G$2645</definedName>
    <definedName name="в">'[26]МТР Газ України'!$F$1</definedName>
    <definedName name="ватт" localSheetId="3">'[27]БАЗА  '!#REF!</definedName>
    <definedName name="ватт" localSheetId="5">'[27]БАЗА  '!#REF!</definedName>
    <definedName name="ватт">'[27]БАЗА  '!#REF!</definedName>
    <definedName name="Д">'[15]МТР Газ України'!$B$4</definedName>
    <definedName name="е" localSheetId="3">#REF!</definedName>
    <definedName name="е" localSheetId="5">#REF!</definedName>
    <definedName name="е">#REF!</definedName>
    <definedName name="є" localSheetId="3">#REF!</definedName>
    <definedName name="є" localSheetId="5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формування'!$3:$4</definedName>
    <definedName name="_xlnm.Print_Titles" localSheetId="3">'Розшифровка до руху'!$4:$5</definedName>
    <definedName name="_xlnm.Print_Titles" localSheetId="4">'Розшифровка кап'!$3:$4</definedName>
    <definedName name="Заголовки_для_печати_МИ">'[28]1993'!$A$1:$IV$3,'[28]1993'!$A$1:$A$65536</definedName>
    <definedName name="і">[29]Inform!$F$2</definedName>
    <definedName name="ів" localSheetId="3">#REF!</definedName>
    <definedName name="ів" localSheetId="5">#REF!</definedName>
    <definedName name="ів">#REF!</definedName>
    <definedName name="ів___0" localSheetId="3">#REF!</definedName>
    <definedName name="ів___0" localSheetId="5">#REF!</definedName>
    <definedName name="ів___0">#REF!</definedName>
    <definedName name="ів_22" localSheetId="3">#REF!</definedName>
    <definedName name="ів_22" localSheetId="5">#REF!</definedName>
    <definedName name="ів_22">#REF!</definedName>
    <definedName name="ів_26" localSheetId="3">#REF!</definedName>
    <definedName name="ів_26" localSheetId="5">#REF!</definedName>
    <definedName name="ів_26">#REF!</definedName>
    <definedName name="іваіа" localSheetId="3">'[30]7  Інші витрати'!#REF!</definedName>
    <definedName name="іваіа" localSheetId="5">'[30]7  Інші витрати'!#REF!</definedName>
    <definedName name="іваіа">'[30]7  Інші витрати'!#REF!</definedName>
    <definedName name="іваф" localSheetId="3">#REF!</definedName>
    <definedName name="іваф" localSheetId="5">#REF!</definedName>
    <definedName name="іваф">#REF!</definedName>
    <definedName name="івів">'[12]МТР Газ України'!$B$1</definedName>
    <definedName name="іцу">[23]Inform!$G$2</definedName>
    <definedName name="йуц" localSheetId="3">#REF!</definedName>
    <definedName name="йуц" localSheetId="5">#REF!</definedName>
    <definedName name="йуц">#REF!</definedName>
    <definedName name="йцу" localSheetId="3">#REF!</definedName>
    <definedName name="йцу" localSheetId="5">#REF!</definedName>
    <definedName name="йцу">#REF!</definedName>
    <definedName name="йцуйй" localSheetId="3">#REF!</definedName>
    <definedName name="йцуйй" localSheetId="5">#REF!</definedName>
    <definedName name="йцуйй">#REF!</definedName>
    <definedName name="йцукц" localSheetId="3">'[30]7  Інші витрати'!#REF!</definedName>
    <definedName name="йцукц" localSheetId="5">'[30]7  Інші витрати'!#REF!</definedName>
    <definedName name="йцукц">'[30]7  Інші витрати'!#REF!</definedName>
    <definedName name="КЕ" localSheetId="3">#REF!</definedName>
    <definedName name="КЕ" localSheetId="5">#REF!</definedName>
    <definedName name="КЕ">#REF!</definedName>
    <definedName name="КЕ___0" localSheetId="3">#REF!</definedName>
    <definedName name="КЕ___0" localSheetId="5">#REF!</definedName>
    <definedName name="КЕ___0">#REF!</definedName>
    <definedName name="КЕ_22" localSheetId="3">#REF!</definedName>
    <definedName name="КЕ_22" localSheetId="5">#REF!</definedName>
    <definedName name="КЕ_22">#REF!</definedName>
    <definedName name="КЕ_26" localSheetId="3">#REF!</definedName>
    <definedName name="КЕ_26" localSheetId="5">#REF!</definedName>
    <definedName name="КЕ_26">#REF!</definedName>
    <definedName name="кен" localSheetId="3">#REF!</definedName>
    <definedName name="кен" localSheetId="5">#REF!</definedName>
    <definedName name="кен">#REF!</definedName>
    <definedName name="л" localSheetId="3">#REF!</definedName>
    <definedName name="л" localSheetId="5">#REF!</definedName>
    <definedName name="л">#REF!</definedName>
    <definedName name="_xlnm.Print_Area" localSheetId="0">'Звіт про виконання показ фінпла'!$A$1:$H$156</definedName>
    <definedName name="_xlnm.Print_Area" localSheetId="1">'Розшифровка 1 до Формування'!$A$1:$H$148</definedName>
    <definedName name="_xlnm.Print_Area" localSheetId="2">'Розшифровка 2 до формування'!$A$1:$H$260</definedName>
    <definedName name="_xlnm.Print_Area" localSheetId="3">'Розшифровка до руху'!$A$1:$G$67</definedName>
    <definedName name="_xlnm.Print_Area" localSheetId="5">'Розшифровка за джерелами '!$A$1:$AB$43</definedName>
    <definedName name="_xlnm.Print_Area" localSheetId="4">'Розшифровка кап'!$A$1:$G$37</definedName>
    <definedName name="п" localSheetId="3">'[13]7  Інші витрати'!#REF!</definedName>
    <definedName name="п" localSheetId="5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3">#REF!</definedName>
    <definedName name="План" localSheetId="5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3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5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3">#REF!</definedName>
    <definedName name="р" localSheetId="5">#REF!</definedName>
    <definedName name="р">#REF!</definedName>
    <definedName name="т">[32]Inform!$E$6</definedName>
    <definedName name="тариф">[33]Inform!$G$2</definedName>
    <definedName name="уйцукйцуйу" localSheetId="3">#REF!</definedName>
    <definedName name="уйцукйцуйу" localSheetId="5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3">'[30]7  Інші витрати'!#REF!</definedName>
    <definedName name="фіваіф" localSheetId="5">'[30]7  Інші витрати'!#REF!</definedName>
    <definedName name="фіваіф">'[30]7  Інші витрати'!#REF!</definedName>
    <definedName name="фф">'[26]МТР Газ України'!$F$1</definedName>
    <definedName name="ц" localSheetId="3">'[13]7  Інші витрати'!#REF!</definedName>
    <definedName name="ц" localSheetId="5">'[13]7  Інші витрати'!#REF!</definedName>
    <definedName name="ц">'[13]7  Інші витрати'!#REF!</definedName>
    <definedName name="ччч" localSheetId="3">'[35]БАЗА  '!#REF!</definedName>
    <definedName name="ччч" localSheetId="5">'[35]БАЗА  '!#REF!</definedName>
    <definedName name="ччч">'[35]БАЗА  '!#REF!</definedName>
    <definedName name="ш" localSheetId="3">#REF!</definedName>
    <definedName name="ш" localSheetId="5">#REF!</definedName>
    <definedName name="ш">#REF!</definedName>
  </definedNames>
  <calcPr calcId="179021" refMode="R1C1"/>
</workbook>
</file>

<file path=xl/calcChain.xml><?xml version="1.0" encoding="utf-8"?>
<calcChain xmlns="http://schemas.openxmlformats.org/spreadsheetml/2006/main">
  <c r="G63" i="28" l="1"/>
  <c r="F63" i="28"/>
  <c r="G62" i="28"/>
  <c r="F62" i="28"/>
  <c r="G61" i="28"/>
  <c r="F61" i="28"/>
  <c r="G60" i="28"/>
  <c r="F60" i="28"/>
  <c r="G59" i="28"/>
  <c r="F59" i="28"/>
  <c r="G58" i="28"/>
  <c r="F58" i="28"/>
  <c r="G57" i="28"/>
  <c r="F57" i="28"/>
  <c r="G56" i="28"/>
  <c r="F56" i="28"/>
  <c r="G55" i="28"/>
  <c r="F55" i="28"/>
  <c r="G54" i="28"/>
  <c r="F54" i="28"/>
  <c r="G53" i="28"/>
  <c r="F53" i="28"/>
  <c r="G52" i="28"/>
  <c r="F52" i="28"/>
  <c r="G51" i="28"/>
  <c r="F51" i="28"/>
  <c r="G50" i="28"/>
  <c r="F50" i="28"/>
  <c r="G49" i="28"/>
  <c r="F49" i="28"/>
  <c r="G48" i="28"/>
  <c r="F48" i="28"/>
  <c r="G47" i="28"/>
  <c r="F47" i="28"/>
  <c r="G46" i="28"/>
  <c r="F46" i="28"/>
  <c r="G45" i="28"/>
  <c r="F45" i="28"/>
  <c r="G44" i="28"/>
  <c r="F44" i="28"/>
  <c r="G43" i="28"/>
  <c r="F43" i="28"/>
  <c r="G42" i="28"/>
  <c r="F42" i="28"/>
  <c r="G41" i="28"/>
  <c r="F41" i="28"/>
  <c r="G40" i="28"/>
  <c r="F40" i="28"/>
  <c r="G39" i="28"/>
  <c r="F39" i="28"/>
  <c r="G38" i="28"/>
  <c r="F38" i="28"/>
  <c r="E24" i="28"/>
  <c r="C24" i="28"/>
  <c r="G25" i="28"/>
  <c r="F25" i="28"/>
  <c r="F77" i="14"/>
  <c r="D77" i="14"/>
  <c r="F78" i="14"/>
  <c r="F40" i="14"/>
  <c r="F120" i="22" l="1"/>
  <c r="H145" i="22" l="1"/>
  <c r="G145" i="22"/>
  <c r="H144" i="22"/>
  <c r="G144" i="22"/>
  <c r="H143" i="22"/>
  <c r="G143" i="22"/>
  <c r="H142" i="22"/>
  <c r="G142" i="22"/>
  <c r="H141" i="22"/>
  <c r="G141" i="22"/>
  <c r="H140" i="22"/>
  <c r="G140" i="22"/>
  <c r="H139" i="22"/>
  <c r="G139" i="22"/>
  <c r="H138" i="22"/>
  <c r="G138" i="22"/>
  <c r="H137" i="22"/>
  <c r="G137" i="22"/>
  <c r="H136" i="22"/>
  <c r="G136" i="22"/>
  <c r="H135" i="22"/>
  <c r="G135" i="22"/>
  <c r="H134" i="22"/>
  <c r="G134" i="22"/>
  <c r="H133" i="22"/>
  <c r="G133" i="22"/>
  <c r="H132" i="22"/>
  <c r="G132" i="22"/>
  <c r="H131" i="22"/>
  <c r="G131" i="22"/>
  <c r="H130" i="22"/>
  <c r="G130" i="22"/>
  <c r="H129" i="22"/>
  <c r="G129" i="22"/>
  <c r="H128" i="22"/>
  <c r="G128" i="22"/>
  <c r="H127" i="22"/>
  <c r="G127" i="22"/>
  <c r="H126" i="22"/>
  <c r="G126" i="22"/>
  <c r="H125" i="22"/>
  <c r="G125" i="22"/>
  <c r="H123" i="22"/>
  <c r="G123" i="22"/>
  <c r="H122" i="22"/>
  <c r="G122" i="22"/>
  <c r="H121" i="22"/>
  <c r="G121" i="22"/>
  <c r="H119" i="22"/>
  <c r="G119" i="22"/>
  <c r="H118" i="22"/>
  <c r="G118" i="22"/>
  <c r="H117" i="22"/>
  <c r="G117" i="22"/>
  <c r="H116" i="22"/>
  <c r="G116" i="22"/>
  <c r="H115" i="22"/>
  <c r="G115" i="22"/>
  <c r="H114" i="22"/>
  <c r="G114" i="22"/>
  <c r="H113" i="22"/>
  <c r="G113" i="22"/>
  <c r="H110" i="22"/>
  <c r="G110" i="22"/>
  <c r="H109" i="22"/>
  <c r="G109" i="22"/>
  <c r="H107" i="22"/>
  <c r="G107" i="22"/>
  <c r="H106" i="22"/>
  <c r="G106" i="22"/>
  <c r="H105" i="22"/>
  <c r="G105" i="22"/>
  <c r="H104" i="22"/>
  <c r="G104" i="22"/>
  <c r="H103" i="22"/>
  <c r="G103" i="22"/>
  <c r="H102" i="22"/>
  <c r="G102" i="22"/>
  <c r="H101" i="22"/>
  <c r="G101" i="22"/>
  <c r="H99" i="22"/>
  <c r="G99" i="22"/>
  <c r="H98" i="22"/>
  <c r="G98" i="22"/>
  <c r="H97" i="22"/>
  <c r="G97" i="22"/>
  <c r="H94" i="22"/>
  <c r="G94" i="22"/>
  <c r="H93" i="22"/>
  <c r="G93" i="22"/>
  <c r="H92" i="22"/>
  <c r="G92" i="22"/>
  <c r="H91" i="22"/>
  <c r="G91" i="22"/>
  <c r="H90" i="22"/>
  <c r="G90" i="22"/>
  <c r="H89" i="22"/>
  <c r="G89" i="22"/>
  <c r="H88" i="22"/>
  <c r="G88" i="22"/>
  <c r="H87" i="22"/>
  <c r="G87" i="22"/>
  <c r="H86" i="22"/>
  <c r="G86" i="22"/>
  <c r="H85" i="22"/>
  <c r="G85" i="22"/>
  <c r="H84" i="22"/>
  <c r="G84" i="22"/>
  <c r="H83" i="22"/>
  <c r="G83" i="22"/>
  <c r="H82" i="22"/>
  <c r="G82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4" i="22"/>
  <c r="G74" i="22"/>
  <c r="H73" i="22"/>
  <c r="G73" i="22"/>
  <c r="H72" i="22"/>
  <c r="G72" i="22"/>
  <c r="H71" i="22"/>
  <c r="G71" i="22"/>
  <c r="H70" i="22"/>
  <c r="G70" i="22"/>
  <c r="H69" i="22"/>
  <c r="G69" i="22"/>
  <c r="H68" i="22"/>
  <c r="G68" i="22"/>
  <c r="H67" i="22"/>
  <c r="G67" i="22"/>
  <c r="H56" i="22"/>
  <c r="G56" i="22"/>
  <c r="H55" i="22"/>
  <c r="G55" i="22"/>
  <c r="H53" i="22"/>
  <c r="G53" i="22"/>
  <c r="H52" i="22"/>
  <c r="G52" i="22"/>
  <c r="H51" i="22"/>
  <c r="G51" i="22"/>
  <c r="H45" i="22"/>
  <c r="G45" i="22"/>
  <c r="H27" i="22"/>
  <c r="G27" i="22"/>
  <c r="H26" i="22"/>
  <c r="G26" i="22"/>
  <c r="H25" i="22"/>
  <c r="G25" i="22"/>
  <c r="H23" i="22"/>
  <c r="G23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H15" i="22"/>
  <c r="G15" i="22"/>
  <c r="H14" i="22"/>
  <c r="G14" i="22"/>
  <c r="H13" i="22"/>
  <c r="G13" i="22"/>
  <c r="H12" i="22"/>
  <c r="G12" i="22"/>
  <c r="H10" i="22"/>
  <c r="G10" i="22"/>
  <c r="H9" i="22"/>
  <c r="G9" i="22"/>
  <c r="D7" i="22"/>
  <c r="N13" i="26"/>
  <c r="M13" i="26"/>
  <c r="L13" i="26"/>
  <c r="F202" i="26"/>
  <c r="F243" i="26"/>
  <c r="F123" i="26" l="1"/>
  <c r="E123" i="26"/>
  <c r="D123" i="26"/>
  <c r="H256" i="26"/>
  <c r="G256" i="26"/>
  <c r="H253" i="26"/>
  <c r="H251" i="26"/>
  <c r="G251" i="26"/>
  <c r="H250" i="26"/>
  <c r="G250" i="26"/>
  <c r="H248" i="26"/>
  <c r="H246" i="26"/>
  <c r="G246" i="26"/>
  <c r="H243" i="26"/>
  <c r="G243" i="26"/>
  <c r="H239" i="26"/>
  <c r="G239" i="26"/>
  <c r="H235" i="26"/>
  <c r="G235" i="26"/>
  <c r="H234" i="26"/>
  <c r="G234" i="26"/>
  <c r="H233" i="26"/>
  <c r="G233" i="26"/>
  <c r="H230" i="26"/>
  <c r="G230" i="26"/>
  <c r="H228" i="26"/>
  <c r="G228" i="26"/>
  <c r="H223" i="26"/>
  <c r="G223" i="26"/>
  <c r="H222" i="26"/>
  <c r="G222" i="26"/>
  <c r="H220" i="26"/>
  <c r="G220" i="26"/>
  <c r="H218" i="26"/>
  <c r="G218" i="26"/>
  <c r="H217" i="26"/>
  <c r="G217" i="26"/>
  <c r="H216" i="26"/>
  <c r="G216" i="26"/>
  <c r="H213" i="26"/>
  <c r="G213" i="26"/>
  <c r="H212" i="26"/>
  <c r="G212" i="26"/>
  <c r="H209" i="26"/>
  <c r="G209" i="26"/>
  <c r="H208" i="26"/>
  <c r="G208" i="26"/>
  <c r="H207" i="26"/>
  <c r="G207" i="26"/>
  <c r="H206" i="26"/>
  <c r="G206" i="26"/>
  <c r="H205" i="26"/>
  <c r="G205" i="26"/>
  <c r="H204" i="26"/>
  <c r="G204" i="26"/>
  <c r="H199" i="26"/>
  <c r="G199" i="26"/>
  <c r="H198" i="26"/>
  <c r="G198" i="26"/>
  <c r="H197" i="26"/>
  <c r="G197" i="26"/>
  <c r="H196" i="26"/>
  <c r="G196" i="26"/>
  <c r="H193" i="26"/>
  <c r="G193" i="26"/>
  <c r="H192" i="26"/>
  <c r="G192" i="26"/>
  <c r="H191" i="26"/>
  <c r="G191" i="26"/>
  <c r="H190" i="26"/>
  <c r="G190" i="26"/>
  <c r="H189" i="26"/>
  <c r="G189" i="26"/>
  <c r="H188" i="26"/>
  <c r="G188" i="26"/>
  <c r="H183" i="26"/>
  <c r="G183" i="26"/>
  <c r="H182" i="26"/>
  <c r="G182" i="26"/>
  <c r="H180" i="26"/>
  <c r="G180" i="26"/>
  <c r="H179" i="26"/>
  <c r="G179" i="26"/>
  <c r="H178" i="26"/>
  <c r="G178" i="26"/>
  <c r="H177" i="26"/>
  <c r="G177" i="26"/>
  <c r="H174" i="26"/>
  <c r="G174" i="26"/>
  <c r="H173" i="26"/>
  <c r="G173" i="26"/>
  <c r="H172" i="26"/>
  <c r="G172" i="26"/>
  <c r="H171" i="26"/>
  <c r="G171" i="26"/>
  <c r="H166" i="26"/>
  <c r="G166" i="26"/>
  <c r="H165" i="26"/>
  <c r="G165" i="26"/>
  <c r="H164" i="26"/>
  <c r="G164" i="26"/>
  <c r="H159" i="26"/>
  <c r="G159" i="26"/>
  <c r="H154" i="26"/>
  <c r="G154" i="26"/>
  <c r="H149" i="26"/>
  <c r="G149" i="26"/>
  <c r="H148" i="26"/>
  <c r="G148" i="26"/>
  <c r="H145" i="26"/>
  <c r="G145" i="26"/>
  <c r="H143" i="26"/>
  <c r="G143" i="26"/>
  <c r="H142" i="26"/>
  <c r="G142" i="26"/>
  <c r="H141" i="26"/>
  <c r="G141" i="26"/>
  <c r="H140" i="26"/>
  <c r="G140" i="26"/>
  <c r="H139" i="26"/>
  <c r="G139" i="26"/>
  <c r="H138" i="26"/>
  <c r="G138" i="26"/>
  <c r="H133" i="26"/>
  <c r="G133" i="26"/>
  <c r="H132" i="26"/>
  <c r="G132" i="26"/>
  <c r="H131" i="26"/>
  <c r="G131" i="26"/>
  <c r="H130" i="26"/>
  <c r="G130" i="26"/>
  <c r="H129" i="26"/>
  <c r="G129" i="26"/>
  <c r="H127" i="26"/>
  <c r="G127" i="26"/>
  <c r="H126" i="26"/>
  <c r="G126" i="26"/>
  <c r="H125" i="26"/>
  <c r="G125" i="26"/>
  <c r="H124" i="26"/>
  <c r="G124" i="26"/>
  <c r="H121" i="26"/>
  <c r="G121" i="26"/>
  <c r="H120" i="26"/>
  <c r="G120" i="26"/>
  <c r="H119" i="26"/>
  <c r="G119" i="26"/>
  <c r="H117" i="26"/>
  <c r="G117" i="26"/>
  <c r="H116" i="26"/>
  <c r="G116" i="26"/>
  <c r="H115" i="26"/>
  <c r="G115" i="26"/>
  <c r="H114" i="26"/>
  <c r="G114" i="26"/>
  <c r="H113" i="26"/>
  <c r="G113" i="26"/>
  <c r="H112" i="26"/>
  <c r="G112" i="26"/>
  <c r="H111" i="26"/>
  <c r="G111" i="26"/>
  <c r="H110" i="26"/>
  <c r="G110" i="26"/>
  <c r="H105" i="26"/>
  <c r="G105" i="26"/>
  <c r="H104" i="26"/>
  <c r="G104" i="26"/>
  <c r="H103" i="26"/>
  <c r="G103" i="26"/>
  <c r="H102" i="26"/>
  <c r="G102" i="26"/>
  <c r="H101" i="26"/>
  <c r="G101" i="26"/>
  <c r="H100" i="26"/>
  <c r="G100" i="26"/>
  <c r="H99" i="26"/>
  <c r="G99" i="26"/>
  <c r="H98" i="26"/>
  <c r="G98" i="26"/>
  <c r="H97" i="26"/>
  <c r="G97" i="26"/>
  <c r="H96" i="26"/>
  <c r="G96" i="26"/>
  <c r="H95" i="26"/>
  <c r="G95" i="26"/>
  <c r="H94" i="26"/>
  <c r="G94" i="26"/>
  <c r="H93" i="26"/>
  <c r="G93" i="26"/>
  <c r="H92" i="26"/>
  <c r="G92" i="26"/>
  <c r="H91" i="26"/>
  <c r="G91" i="26"/>
  <c r="H90" i="26"/>
  <c r="G90" i="26"/>
  <c r="H89" i="26"/>
  <c r="G89" i="26"/>
  <c r="H87" i="26"/>
  <c r="G87" i="26"/>
  <c r="H86" i="26"/>
  <c r="G86" i="26"/>
  <c r="H84" i="26"/>
  <c r="G84" i="26"/>
  <c r="H83" i="26"/>
  <c r="G83" i="26"/>
  <c r="H82" i="26"/>
  <c r="G82" i="26"/>
  <c r="H81" i="26"/>
  <c r="G81" i="26"/>
  <c r="H80" i="26"/>
  <c r="G80" i="26"/>
  <c r="H79" i="26"/>
  <c r="G79" i="26"/>
  <c r="H77" i="26"/>
  <c r="G77" i="26"/>
  <c r="H76" i="26"/>
  <c r="G76" i="26"/>
  <c r="H75" i="26"/>
  <c r="G75" i="26"/>
  <c r="H74" i="26"/>
  <c r="G74" i="26"/>
  <c r="H73" i="26"/>
  <c r="G73" i="26"/>
  <c r="H72" i="26"/>
  <c r="G72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63" i="26"/>
  <c r="G63" i="26"/>
  <c r="H62" i="26"/>
  <c r="G62" i="26"/>
  <c r="H61" i="26"/>
  <c r="G61" i="26"/>
  <c r="H60" i="26"/>
  <c r="G60" i="26"/>
  <c r="H59" i="26"/>
  <c r="G59" i="26"/>
  <c r="H58" i="26"/>
  <c r="G58" i="26"/>
  <c r="H57" i="26"/>
  <c r="G57" i="26"/>
  <c r="H56" i="26"/>
  <c r="G56" i="26"/>
  <c r="H55" i="26"/>
  <c r="G55" i="26"/>
  <c r="H54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7" i="26"/>
  <c r="G47" i="26"/>
  <c r="H46" i="26"/>
  <c r="G46" i="26"/>
  <c r="H45" i="26"/>
  <c r="G45" i="26"/>
  <c r="H44" i="26"/>
  <c r="G44" i="26"/>
  <c r="H43" i="26"/>
  <c r="G43" i="26"/>
  <c r="H42" i="26"/>
  <c r="G42" i="26"/>
  <c r="H41" i="26"/>
  <c r="G41" i="26"/>
  <c r="H40" i="26"/>
  <c r="G40" i="26"/>
  <c r="H39" i="26"/>
  <c r="G39" i="26"/>
  <c r="H38" i="26"/>
  <c r="G38" i="26"/>
  <c r="H37" i="26"/>
  <c r="G37" i="26"/>
  <c r="H36" i="26"/>
  <c r="G36" i="26"/>
  <c r="H35" i="26"/>
  <c r="G35" i="26"/>
  <c r="H34" i="26"/>
  <c r="G34" i="26"/>
  <c r="H33" i="26"/>
  <c r="G33" i="26"/>
  <c r="H32" i="26"/>
  <c r="G32" i="26"/>
  <c r="H31" i="26"/>
  <c r="G31" i="26"/>
  <c r="H30" i="26"/>
  <c r="G30" i="26"/>
  <c r="H28" i="26"/>
  <c r="G28" i="26"/>
  <c r="H27" i="26"/>
  <c r="G27" i="26"/>
  <c r="H26" i="26"/>
  <c r="G26" i="26"/>
  <c r="H25" i="26"/>
  <c r="G25" i="26"/>
  <c r="H24" i="26"/>
  <c r="G24" i="26"/>
  <c r="H23" i="26"/>
  <c r="G23" i="26"/>
  <c r="H22" i="26"/>
  <c r="G22" i="26"/>
  <c r="H21" i="26"/>
  <c r="G21" i="26"/>
  <c r="H20" i="26"/>
  <c r="G20" i="26"/>
  <c r="H19" i="26"/>
  <c r="G19" i="26"/>
  <c r="H18" i="26"/>
  <c r="G18" i="26"/>
  <c r="H17" i="26"/>
  <c r="G17" i="26"/>
  <c r="H16" i="26"/>
  <c r="G16" i="26"/>
  <c r="H15" i="26"/>
  <c r="G15" i="26"/>
  <c r="H14" i="26"/>
  <c r="G14" i="26"/>
  <c r="H13" i="26"/>
  <c r="G13" i="26"/>
  <c r="H12" i="26"/>
  <c r="G12" i="26"/>
  <c r="H11" i="26"/>
  <c r="G11" i="26"/>
  <c r="M27" i="26"/>
  <c r="N26" i="26"/>
  <c r="M26" i="26"/>
  <c r="N25" i="26"/>
  <c r="M25" i="26"/>
  <c r="L27" i="26"/>
  <c r="L26" i="26"/>
  <c r="L25" i="26"/>
  <c r="N20" i="26" l="1"/>
  <c r="M20" i="26"/>
  <c r="N19" i="26"/>
  <c r="M19" i="26"/>
  <c r="N18" i="26"/>
  <c r="M18" i="26"/>
  <c r="L20" i="26"/>
  <c r="L19" i="26"/>
  <c r="L18" i="26"/>
  <c r="N12" i="26"/>
  <c r="F249" i="26"/>
  <c r="M12" i="26"/>
  <c r="N11" i="26"/>
  <c r="M11" i="26"/>
  <c r="L12" i="26"/>
  <c r="L11" i="26"/>
  <c r="N32" i="26" l="1"/>
  <c r="L31" i="26"/>
  <c r="M32" i="26"/>
  <c r="M33" i="26"/>
  <c r="N31" i="26"/>
  <c r="H249" i="26"/>
  <c r="G249" i="26"/>
  <c r="M31" i="26"/>
  <c r="L32" i="26"/>
  <c r="V31" i="27" l="1"/>
  <c r="C9" i="14"/>
  <c r="D64" i="14" l="1"/>
  <c r="D57" i="14"/>
  <c r="D52" i="14"/>
  <c r="D68" i="14" s="1"/>
  <c r="D152" i="14"/>
  <c r="D151" i="14"/>
  <c r="D150" i="14"/>
  <c r="D145" i="14"/>
  <c r="D141" i="14"/>
  <c r="D137" i="14"/>
  <c r="D119" i="14"/>
  <c r="D109" i="14"/>
  <c r="D104" i="14"/>
  <c r="D114" i="14" s="1"/>
  <c r="D94" i="14"/>
  <c r="D93" i="14"/>
  <c r="D91" i="14"/>
  <c r="D102" i="14" s="1"/>
  <c r="D79" i="14"/>
  <c r="D76" i="14"/>
  <c r="D71" i="14"/>
  <c r="D50" i="14"/>
  <c r="D25" i="14"/>
  <c r="D22" i="14"/>
  <c r="D42" i="14" s="1"/>
  <c r="D16" i="14"/>
  <c r="D43" i="14" s="1"/>
  <c r="D15" i="14"/>
  <c r="D31" i="14" s="1"/>
  <c r="D36" i="14" s="1"/>
  <c r="D39" i="14" s="1"/>
  <c r="D89" i="14" l="1"/>
  <c r="D115" i="14" s="1"/>
  <c r="D117" i="14" s="1"/>
  <c r="D149" i="14"/>
  <c r="J82" i="14"/>
  <c r="F79" i="14"/>
  <c r="E11" i="28"/>
  <c r="E8" i="28"/>
  <c r="E61" i="28"/>
  <c r="E36" i="28"/>
  <c r="W34" i="27"/>
  <c r="Z34" i="27" s="1"/>
  <c r="F22" i="14" l="1"/>
  <c r="F31" i="22"/>
  <c r="F32" i="22"/>
  <c r="F81" i="22"/>
  <c r="F43" i="22"/>
  <c r="F34" i="22"/>
  <c r="F35" i="22"/>
  <c r="F37" i="22"/>
  <c r="F33" i="22"/>
  <c r="F65" i="22"/>
  <c r="F63" i="22"/>
  <c r="F50" i="22"/>
  <c r="F48" i="22"/>
  <c r="F47" i="22"/>
  <c r="F46" i="22"/>
  <c r="F112" i="22"/>
  <c r="F111" i="22"/>
  <c r="F62" i="22"/>
  <c r="F49" i="22"/>
  <c r="F124" i="22"/>
  <c r="F44" i="22"/>
  <c r="F66" i="22"/>
  <c r="F64" i="22"/>
  <c r="F61" i="22"/>
  <c r="F60" i="22"/>
  <c r="F59" i="22"/>
  <c r="F58" i="22"/>
  <c r="F57" i="22"/>
  <c r="F42" i="22"/>
  <c r="F41" i="22"/>
  <c r="F40" i="22"/>
  <c r="F39" i="22"/>
  <c r="F38" i="22"/>
  <c r="F36" i="22"/>
  <c r="F181" i="26"/>
  <c r="F108" i="22" l="1"/>
  <c r="H38" i="22"/>
  <c r="G38" i="22"/>
  <c r="H58" i="22"/>
  <c r="G58" i="22"/>
  <c r="H112" i="22"/>
  <c r="G112" i="22"/>
  <c r="H81" i="22"/>
  <c r="G81" i="22"/>
  <c r="G40" i="22"/>
  <c r="H40" i="22"/>
  <c r="H60" i="22"/>
  <c r="G60" i="22"/>
  <c r="H124" i="22"/>
  <c r="G124" i="22"/>
  <c r="H47" i="22"/>
  <c r="G47" i="22"/>
  <c r="H37" i="22"/>
  <c r="G37" i="22"/>
  <c r="G31" i="22"/>
  <c r="H31" i="22"/>
  <c r="G41" i="22"/>
  <c r="H41" i="22"/>
  <c r="G61" i="22"/>
  <c r="H61" i="22"/>
  <c r="G49" i="22"/>
  <c r="H49" i="22"/>
  <c r="H48" i="22"/>
  <c r="G48" i="22"/>
  <c r="H35" i="22"/>
  <c r="G35" i="22"/>
  <c r="H42" i="22"/>
  <c r="G42" i="22"/>
  <c r="H64" i="22"/>
  <c r="G64" i="22"/>
  <c r="H62" i="22"/>
  <c r="G62" i="22"/>
  <c r="H50" i="22"/>
  <c r="G50" i="22"/>
  <c r="G34" i="22"/>
  <c r="H34" i="22"/>
  <c r="H36" i="22"/>
  <c r="G36" i="22"/>
  <c r="H57" i="22"/>
  <c r="G57" i="22"/>
  <c r="H66" i="22"/>
  <c r="G66" i="22"/>
  <c r="G111" i="22"/>
  <c r="H111" i="22"/>
  <c r="H63" i="22"/>
  <c r="G63" i="22"/>
  <c r="G43" i="22"/>
  <c r="H43" i="22"/>
  <c r="G65" i="22"/>
  <c r="H65" i="22"/>
  <c r="H39" i="22"/>
  <c r="G39" i="22"/>
  <c r="G59" i="22"/>
  <c r="H59" i="22"/>
  <c r="H44" i="22"/>
  <c r="G44" i="22"/>
  <c r="H46" i="22"/>
  <c r="G46" i="22"/>
  <c r="H33" i="22"/>
  <c r="G33" i="22"/>
  <c r="G181" i="26"/>
  <c r="H181" i="26"/>
  <c r="F229" i="26"/>
  <c r="H229" i="26" l="1"/>
  <c r="G229" i="26"/>
  <c r="F203" i="26"/>
  <c r="D203" i="26" l="1"/>
  <c r="E210" i="26"/>
  <c r="D211" i="26"/>
  <c r="D210" i="26" s="1"/>
  <c r="F211" i="26"/>
  <c r="F187" i="26"/>
  <c r="F255" i="26"/>
  <c r="F163" i="26"/>
  <c r="G255" i="26" l="1"/>
  <c r="H255" i="26"/>
  <c r="H211" i="26"/>
  <c r="G211" i="26"/>
  <c r="F254" i="26"/>
  <c r="F210" i="26"/>
  <c r="E32" i="24"/>
  <c r="E29" i="24"/>
  <c r="T8" i="27"/>
  <c r="X29" i="27"/>
  <c r="Y29" i="27"/>
  <c r="Z29" i="27"/>
  <c r="AB29" i="27" s="1"/>
  <c r="AA29" i="27"/>
  <c r="E6" i="24"/>
  <c r="P8" i="27"/>
  <c r="B29" i="27"/>
  <c r="X26" i="27"/>
  <c r="Y26" i="27"/>
  <c r="Z26" i="27"/>
  <c r="X27" i="27"/>
  <c r="Y27" i="27"/>
  <c r="Z27" i="27"/>
  <c r="X28" i="27"/>
  <c r="Y28" i="27"/>
  <c r="Z28" i="27"/>
  <c r="W8" i="27"/>
  <c r="W37" i="27" s="1"/>
  <c r="B28" i="27"/>
  <c r="B27" i="27"/>
  <c r="E5" i="24" l="1"/>
  <c r="H210" i="26"/>
  <c r="G210" i="26"/>
  <c r="H254" i="26"/>
  <c r="G254" i="26"/>
  <c r="AA26" i="27"/>
  <c r="F247" i="26"/>
  <c r="F252" i="26"/>
  <c r="AB28" i="27"/>
  <c r="AA27" i="27"/>
  <c r="AB26" i="27"/>
  <c r="AA28" i="27"/>
  <c r="AB27" i="27"/>
  <c r="F145" i="14"/>
  <c r="F141" i="14"/>
  <c r="F137" i="14"/>
  <c r="H252" i="26" l="1"/>
  <c r="G252" i="26"/>
  <c r="H247" i="26"/>
  <c r="G247" i="26"/>
  <c r="F149" i="14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13" i="27"/>
  <c r="B9" i="27"/>
  <c r="F96" i="22" l="1"/>
  <c r="F54" i="22"/>
  <c r="E109" i="26"/>
  <c r="E108" i="26" s="1"/>
  <c r="F109" i="26"/>
  <c r="H109" i="26" l="1"/>
  <c r="G109" i="26"/>
  <c r="E54" i="22"/>
  <c r="H54" i="22" s="1"/>
  <c r="E30" i="22"/>
  <c r="G54" i="22" l="1"/>
  <c r="E215" i="26"/>
  <c r="E214" i="26" s="1"/>
  <c r="F215" i="26"/>
  <c r="D215" i="26"/>
  <c r="D214" i="26" s="1"/>
  <c r="E128" i="26"/>
  <c r="F128" i="26"/>
  <c r="I128" i="26"/>
  <c r="D128" i="26"/>
  <c r="E9" i="26"/>
  <c r="F9" i="26"/>
  <c r="D9" i="26"/>
  <c r="H10" i="26"/>
  <c r="G10" i="26"/>
  <c r="D28" i="26"/>
  <c r="L33" i="26" s="1"/>
  <c r="D29" i="26"/>
  <c r="E29" i="26"/>
  <c r="M14" i="26" s="1"/>
  <c r="F29" i="26"/>
  <c r="D71" i="26"/>
  <c r="L17" i="26" s="1"/>
  <c r="E71" i="26"/>
  <c r="M17" i="26" s="1"/>
  <c r="F71" i="26"/>
  <c r="D78" i="26"/>
  <c r="E78" i="26"/>
  <c r="M21" i="26" s="1"/>
  <c r="F78" i="26"/>
  <c r="D88" i="26"/>
  <c r="D85" i="26" s="1"/>
  <c r="E88" i="26"/>
  <c r="F88" i="26"/>
  <c r="D109" i="26"/>
  <c r="D118" i="26"/>
  <c r="F118" i="26"/>
  <c r="F137" i="26"/>
  <c r="F144" i="26"/>
  <c r="F147" i="26"/>
  <c r="E150" i="26"/>
  <c r="D153" i="26"/>
  <c r="D152" i="26" s="1"/>
  <c r="D150" i="26" s="1"/>
  <c r="F153" i="26"/>
  <c r="E157" i="26"/>
  <c r="E155" i="26" s="1"/>
  <c r="D158" i="26"/>
  <c r="D157" i="26" s="1"/>
  <c r="D155" i="26" s="1"/>
  <c r="F158" i="26"/>
  <c r="D163" i="26"/>
  <c r="D162" i="26" s="1"/>
  <c r="D160" i="26" s="1"/>
  <c r="E163" i="26"/>
  <c r="F162" i="26"/>
  <c r="D170" i="26"/>
  <c r="D169" i="26" s="1"/>
  <c r="E170" i="26"/>
  <c r="E169" i="26" s="1"/>
  <c r="F170" i="26"/>
  <c r="D176" i="26"/>
  <c r="D175" i="26" s="1"/>
  <c r="E176" i="26"/>
  <c r="E175" i="26" s="1"/>
  <c r="F176" i="26"/>
  <c r="D187" i="26"/>
  <c r="D186" i="26" s="1"/>
  <c r="E187" i="26"/>
  <c r="F186" i="26"/>
  <c r="D195" i="26"/>
  <c r="D194" i="26" s="1"/>
  <c r="E195" i="26"/>
  <c r="E194" i="26" s="1"/>
  <c r="F195" i="26"/>
  <c r="D202" i="26"/>
  <c r="E203" i="26"/>
  <c r="D221" i="26"/>
  <c r="D219" i="26" s="1"/>
  <c r="E221" i="26"/>
  <c r="E219" i="26" s="1"/>
  <c r="F221" i="26"/>
  <c r="D227" i="26"/>
  <c r="D226" i="26" s="1"/>
  <c r="F227" i="26"/>
  <c r="D232" i="26"/>
  <c r="D231" i="26" s="1"/>
  <c r="E232" i="26"/>
  <c r="E224" i="26" s="1"/>
  <c r="F232" i="26"/>
  <c r="F238" i="26"/>
  <c r="D242" i="26"/>
  <c r="D240" i="26" s="1"/>
  <c r="E242" i="26"/>
  <c r="F242" i="26"/>
  <c r="E244" i="26"/>
  <c r="F245" i="26"/>
  <c r="F119" i="14"/>
  <c r="F64" i="14"/>
  <c r="F57" i="14"/>
  <c r="F52" i="14"/>
  <c r="F68" i="14" s="1"/>
  <c r="F50" i="14"/>
  <c r="F42" i="14"/>
  <c r="F25" i="14"/>
  <c r="F16" i="14"/>
  <c r="E240" i="26" l="1"/>
  <c r="F175" i="26"/>
  <c r="H176" i="26"/>
  <c r="G176" i="26"/>
  <c r="H153" i="26"/>
  <c r="G153" i="26"/>
  <c r="N28" i="26"/>
  <c r="G88" i="26"/>
  <c r="H88" i="26"/>
  <c r="H71" i="26"/>
  <c r="G71" i="26"/>
  <c r="N17" i="26"/>
  <c r="H238" i="26"/>
  <c r="G238" i="26"/>
  <c r="M24" i="26"/>
  <c r="H245" i="26"/>
  <c r="N27" i="26"/>
  <c r="N33" i="26" s="1"/>
  <c r="G245" i="26"/>
  <c r="H232" i="26"/>
  <c r="G232" i="26"/>
  <c r="L24" i="26"/>
  <c r="L28" i="26"/>
  <c r="G128" i="26"/>
  <c r="H128" i="26"/>
  <c r="F169" i="26"/>
  <c r="H170" i="26"/>
  <c r="G170" i="26"/>
  <c r="H158" i="26"/>
  <c r="G158" i="26"/>
  <c r="F146" i="26"/>
  <c r="H147" i="26"/>
  <c r="G147" i="26"/>
  <c r="H118" i="26"/>
  <c r="G118" i="26"/>
  <c r="H78" i="26"/>
  <c r="G78" i="26"/>
  <c r="N21" i="26"/>
  <c r="H29" i="26"/>
  <c r="G29" i="26"/>
  <c r="N14" i="26"/>
  <c r="L10" i="26"/>
  <c r="F194" i="26"/>
  <c r="F184" i="26" s="1"/>
  <c r="H195" i="26"/>
  <c r="G195" i="26"/>
  <c r="H123" i="26"/>
  <c r="G123" i="26"/>
  <c r="N24" i="26"/>
  <c r="H221" i="26"/>
  <c r="G221" i="26"/>
  <c r="G163" i="26"/>
  <c r="H163" i="26"/>
  <c r="E85" i="26"/>
  <c r="M28" i="26"/>
  <c r="M34" i="26" s="1"/>
  <c r="H242" i="26"/>
  <c r="G242" i="26"/>
  <c r="H203" i="26"/>
  <c r="G203" i="26"/>
  <c r="H187" i="26"/>
  <c r="G187" i="26"/>
  <c r="H144" i="26"/>
  <c r="G144" i="26"/>
  <c r="N10" i="26"/>
  <c r="H227" i="26"/>
  <c r="G227" i="26"/>
  <c r="H137" i="26"/>
  <c r="G137" i="26"/>
  <c r="D70" i="26"/>
  <c r="L16" i="26" s="1"/>
  <c r="L21" i="26"/>
  <c r="L14" i="26"/>
  <c r="M10" i="26"/>
  <c r="F214" i="26"/>
  <c r="F200" i="26" s="1"/>
  <c r="H215" i="26"/>
  <c r="G215" i="26"/>
  <c r="F236" i="26"/>
  <c r="F226" i="26"/>
  <c r="F219" i="26"/>
  <c r="F231" i="26"/>
  <c r="D108" i="26"/>
  <c r="F85" i="26"/>
  <c r="F43" i="14"/>
  <c r="F136" i="26"/>
  <c r="E122" i="26"/>
  <c r="D200" i="26"/>
  <c r="D184" i="26"/>
  <c r="F244" i="26"/>
  <c r="F240" i="26" s="1"/>
  <c r="D167" i="26"/>
  <c r="E202" i="26"/>
  <c r="D224" i="26"/>
  <c r="D122" i="26"/>
  <c r="L23" i="26" s="1"/>
  <c r="F152" i="26"/>
  <c r="F122" i="26"/>
  <c r="F70" i="26"/>
  <c r="E167" i="26"/>
  <c r="E231" i="26"/>
  <c r="E186" i="26"/>
  <c r="G186" i="26" s="1"/>
  <c r="E70" i="26"/>
  <c r="M16" i="26" s="1"/>
  <c r="F157" i="26"/>
  <c r="E162" i="26"/>
  <c r="E160" i="26" s="1"/>
  <c r="F160" i="26"/>
  <c r="F108" i="26"/>
  <c r="F15" i="14"/>
  <c r="F31" i="14" s="1"/>
  <c r="F36" i="14" s="1"/>
  <c r="F39" i="14" s="1"/>
  <c r="L30" i="26" l="1"/>
  <c r="M30" i="26"/>
  <c r="M35" i="26" s="1"/>
  <c r="M23" i="26"/>
  <c r="H186" i="26"/>
  <c r="L34" i="26"/>
  <c r="G240" i="26"/>
  <c r="H240" i="26"/>
  <c r="H175" i="26"/>
  <c r="G175" i="26"/>
  <c r="H160" i="26"/>
  <c r="G160" i="26"/>
  <c r="F150" i="26"/>
  <c r="H152" i="26"/>
  <c r="G152" i="26"/>
  <c r="G157" i="26"/>
  <c r="H157" i="26"/>
  <c r="H219" i="26"/>
  <c r="G219" i="26"/>
  <c r="H214" i="26"/>
  <c r="G214" i="26"/>
  <c r="H169" i="26"/>
  <c r="G169" i="26"/>
  <c r="H162" i="26"/>
  <c r="H108" i="26"/>
  <c r="G108" i="26"/>
  <c r="F106" i="26"/>
  <c r="H122" i="26"/>
  <c r="G122" i="26"/>
  <c r="H244" i="26"/>
  <c r="G244" i="26"/>
  <c r="H236" i="26"/>
  <c r="G236" i="26"/>
  <c r="N30" i="26"/>
  <c r="N34" i="26"/>
  <c r="H231" i="26"/>
  <c r="G231" i="26"/>
  <c r="G162" i="26"/>
  <c r="F167" i="26"/>
  <c r="G70" i="26"/>
  <c r="H70" i="26"/>
  <c r="N16" i="26"/>
  <c r="G202" i="26"/>
  <c r="H202" i="26"/>
  <c r="F134" i="26"/>
  <c r="H136" i="26"/>
  <c r="G136" i="26"/>
  <c r="H226" i="26"/>
  <c r="G226" i="26"/>
  <c r="H194" i="26"/>
  <c r="G194" i="26"/>
  <c r="H146" i="26"/>
  <c r="G146" i="26"/>
  <c r="N23" i="26"/>
  <c r="H85" i="26"/>
  <c r="G85" i="26"/>
  <c r="D106" i="26"/>
  <c r="F224" i="26"/>
  <c r="E106" i="26"/>
  <c r="E200" i="26"/>
  <c r="H200" i="26" s="1"/>
  <c r="F155" i="26"/>
  <c r="E184" i="26"/>
  <c r="H184" i="26" s="1"/>
  <c r="V8" i="27"/>
  <c r="J8" i="27"/>
  <c r="D6" i="24"/>
  <c r="D36" i="28"/>
  <c r="D8" i="28"/>
  <c r="C8" i="28"/>
  <c r="U8" i="27"/>
  <c r="O8" i="27"/>
  <c r="C29" i="24"/>
  <c r="D124" i="22"/>
  <c r="D114" i="22"/>
  <c r="D100" i="22"/>
  <c r="D98" i="22"/>
  <c r="D69" i="22"/>
  <c r="D62" i="22"/>
  <c r="D50" i="22"/>
  <c r="D48" i="22"/>
  <c r="D47" i="22"/>
  <c r="D46" i="22"/>
  <c r="D44" i="22"/>
  <c r="D35" i="22"/>
  <c r="D34" i="22"/>
  <c r="D33" i="22"/>
  <c r="D25" i="22"/>
  <c r="C152" i="14"/>
  <c r="C151" i="14"/>
  <c r="C150" i="14"/>
  <c r="C145" i="14"/>
  <c r="C141" i="14"/>
  <c r="C137" i="14"/>
  <c r="C119" i="14"/>
  <c r="C109" i="14"/>
  <c r="C104" i="14"/>
  <c r="C114" i="14" s="1"/>
  <c r="C94" i="14"/>
  <c r="C93" i="14" s="1"/>
  <c r="C91" i="14"/>
  <c r="C79" i="14"/>
  <c r="C77" i="14"/>
  <c r="C76" i="14"/>
  <c r="C71" i="14"/>
  <c r="E71" i="14"/>
  <c r="F71" i="14"/>
  <c r="H71" i="14" s="1"/>
  <c r="G72" i="14"/>
  <c r="H72" i="14"/>
  <c r="G73" i="14"/>
  <c r="H73" i="14"/>
  <c r="G74" i="14"/>
  <c r="H74" i="14"/>
  <c r="G75" i="14"/>
  <c r="H75" i="14"/>
  <c r="G78" i="14"/>
  <c r="H78" i="14"/>
  <c r="E79" i="14"/>
  <c r="E76" i="14" s="1"/>
  <c r="E89" i="14" s="1"/>
  <c r="G80" i="14"/>
  <c r="H80" i="14"/>
  <c r="G81" i="14"/>
  <c r="H81" i="14"/>
  <c r="G82" i="14"/>
  <c r="H82" i="14"/>
  <c r="G83" i="14"/>
  <c r="H83" i="14"/>
  <c r="G84" i="14"/>
  <c r="H84" i="14"/>
  <c r="G85" i="14"/>
  <c r="H85" i="14"/>
  <c r="G86" i="14"/>
  <c r="H86" i="14"/>
  <c r="G87" i="14"/>
  <c r="H87" i="14"/>
  <c r="G88" i="14"/>
  <c r="H88" i="14"/>
  <c r="E91" i="14"/>
  <c r="F91" i="14"/>
  <c r="G92" i="14"/>
  <c r="H92" i="14"/>
  <c r="E93" i="14"/>
  <c r="E94" i="14"/>
  <c r="F94" i="14"/>
  <c r="F93" i="14" s="1"/>
  <c r="G95" i="14"/>
  <c r="H95" i="14"/>
  <c r="G96" i="14"/>
  <c r="H96" i="14"/>
  <c r="G97" i="14"/>
  <c r="H97" i="14"/>
  <c r="G98" i="14"/>
  <c r="H98" i="14"/>
  <c r="G99" i="14"/>
  <c r="H99" i="14"/>
  <c r="G100" i="14"/>
  <c r="H100" i="14"/>
  <c r="G101" i="14"/>
  <c r="H101" i="14"/>
  <c r="E104" i="14"/>
  <c r="F104" i="14"/>
  <c r="G105" i="14"/>
  <c r="H105" i="14"/>
  <c r="G106" i="14"/>
  <c r="H106" i="14"/>
  <c r="G107" i="14"/>
  <c r="H107" i="14"/>
  <c r="G108" i="14"/>
  <c r="H108" i="14"/>
  <c r="E109" i="14"/>
  <c r="F109" i="14"/>
  <c r="G110" i="14"/>
  <c r="H110" i="14"/>
  <c r="G111" i="14"/>
  <c r="H111" i="14"/>
  <c r="G112" i="14"/>
  <c r="H112" i="14"/>
  <c r="G113" i="14"/>
  <c r="H113" i="14"/>
  <c r="G116" i="14"/>
  <c r="H116" i="14"/>
  <c r="C52" i="14"/>
  <c r="E52" i="14"/>
  <c r="G52" i="14" s="1"/>
  <c r="G53" i="14"/>
  <c r="H53" i="14"/>
  <c r="G54" i="14"/>
  <c r="H54" i="14"/>
  <c r="G55" i="14"/>
  <c r="H55" i="14"/>
  <c r="C57" i="14"/>
  <c r="E57" i="14"/>
  <c r="G57" i="14" s="1"/>
  <c r="G59" i="14"/>
  <c r="H59" i="14"/>
  <c r="C64" i="14"/>
  <c r="E64" i="14"/>
  <c r="G64" i="14" s="1"/>
  <c r="G66" i="14"/>
  <c r="H66" i="14"/>
  <c r="G67" i="14"/>
  <c r="H67" i="14"/>
  <c r="C68" i="14"/>
  <c r="C50" i="14"/>
  <c r="C25" i="14"/>
  <c r="C22" i="14"/>
  <c r="C42" i="14" s="1"/>
  <c r="C16" i="14"/>
  <c r="C15" i="14"/>
  <c r="C31" i="14" s="1"/>
  <c r="C36" i="14" s="1"/>
  <c r="C39" i="14" s="1"/>
  <c r="L35" i="26" l="1"/>
  <c r="G200" i="26"/>
  <c r="N35" i="26"/>
  <c r="H155" i="26"/>
  <c r="G155" i="26"/>
  <c r="H134" i="26"/>
  <c r="G134" i="26"/>
  <c r="H167" i="26"/>
  <c r="G167" i="26"/>
  <c r="G106" i="26"/>
  <c r="H106" i="26"/>
  <c r="G184" i="26"/>
  <c r="H150" i="26"/>
  <c r="G150" i="26"/>
  <c r="H224" i="26"/>
  <c r="G224" i="26"/>
  <c r="G79" i="14"/>
  <c r="G71" i="14"/>
  <c r="C102" i="14"/>
  <c r="H109" i="14"/>
  <c r="C89" i="14"/>
  <c r="C149" i="14"/>
  <c r="G94" i="14"/>
  <c r="G104" i="14"/>
  <c r="H91" i="14"/>
  <c r="C43" i="14"/>
  <c r="C115" i="14"/>
  <c r="C117" i="14" s="1"/>
  <c r="E114" i="14"/>
  <c r="G109" i="14"/>
  <c r="H93" i="14"/>
  <c r="F102" i="14"/>
  <c r="G93" i="14"/>
  <c r="F76" i="14"/>
  <c r="G77" i="14"/>
  <c r="H77" i="14"/>
  <c r="H64" i="14"/>
  <c r="H57" i="14"/>
  <c r="H52" i="14"/>
  <c r="H104" i="14"/>
  <c r="E68" i="14"/>
  <c r="G68" i="14" s="1"/>
  <c r="E102" i="14"/>
  <c r="E115" i="14" s="1"/>
  <c r="E117" i="14" s="1"/>
  <c r="G91" i="14"/>
  <c r="H79" i="14"/>
  <c r="F114" i="14"/>
  <c r="H94" i="14"/>
  <c r="H68" i="14" l="1"/>
  <c r="F89" i="14"/>
  <c r="G76" i="14"/>
  <c r="H76" i="14"/>
  <c r="G102" i="14"/>
  <c r="H102" i="14"/>
  <c r="H114" i="14"/>
  <c r="G114" i="14"/>
  <c r="F115" i="14" l="1"/>
  <c r="G89" i="14"/>
  <c r="H89" i="14"/>
  <c r="F117" i="14" l="1"/>
  <c r="G115" i="14"/>
  <c r="H115" i="14"/>
  <c r="G117" i="14" l="1"/>
  <c r="H117" i="14"/>
  <c r="E22" i="22" l="1"/>
  <c r="E7" i="22"/>
  <c r="G37" i="28" l="1"/>
  <c r="F37" i="28"/>
  <c r="G10" i="28"/>
  <c r="F10" i="28"/>
  <c r="G13" i="28"/>
  <c r="F13" i="28"/>
  <c r="E17" i="28" l="1"/>
  <c r="L8" i="28" s="1"/>
  <c r="F151" i="14" l="1"/>
  <c r="F152" i="14"/>
  <c r="F150" i="14"/>
  <c r="E108" i="22"/>
  <c r="D108" i="22"/>
  <c r="F100" i="22"/>
  <c r="H108" i="22" l="1"/>
  <c r="G108" i="22"/>
  <c r="F30" i="22"/>
  <c r="F24" i="22"/>
  <c r="F11" i="22"/>
  <c r="G30" i="24" l="1"/>
  <c r="G34" i="24"/>
  <c r="G33" i="24"/>
  <c r="G13" i="24"/>
  <c r="G14" i="24"/>
  <c r="G15" i="24"/>
  <c r="G16" i="24"/>
  <c r="G17" i="24"/>
  <c r="G18" i="24"/>
  <c r="G19" i="24"/>
  <c r="G20" i="24"/>
  <c r="G21" i="24"/>
  <c r="G11" i="24"/>
  <c r="G12" i="24"/>
  <c r="G9" i="24"/>
  <c r="F21" i="24"/>
  <c r="F16" i="24"/>
  <c r="F17" i="24"/>
  <c r="F18" i="24"/>
  <c r="F19" i="24"/>
  <c r="F20" i="24"/>
  <c r="F13" i="24"/>
  <c r="F11" i="24"/>
  <c r="G7" i="24"/>
  <c r="Z35" i="27" l="1"/>
  <c r="AA35" i="27" s="1"/>
  <c r="Z36" i="27"/>
  <c r="AA36" i="27" s="1"/>
  <c r="Y21" i="27"/>
  <c r="Y22" i="27"/>
  <c r="Y23" i="27"/>
  <c r="Y24" i="27"/>
  <c r="Y25" i="27"/>
  <c r="X18" i="27"/>
  <c r="X19" i="27"/>
  <c r="X20" i="27"/>
  <c r="X21" i="27"/>
  <c r="X22" i="27"/>
  <c r="X23" i="27"/>
  <c r="X24" i="27"/>
  <c r="X25" i="27"/>
  <c r="X17" i="27"/>
  <c r="Y17" i="27"/>
  <c r="Y13" i="27"/>
  <c r="Z13" i="27"/>
  <c r="X15" i="27"/>
  <c r="Y15" i="27"/>
  <c r="Z15" i="27"/>
  <c r="Z17" i="27"/>
  <c r="AA17" i="27" l="1"/>
  <c r="AA15" i="27"/>
  <c r="AB35" i="27"/>
  <c r="AB36" i="27"/>
  <c r="AB17" i="27"/>
  <c r="AB15" i="27"/>
  <c r="AA13" i="27"/>
  <c r="AB13" i="27"/>
  <c r="Z25" i="27"/>
  <c r="Z23" i="27"/>
  <c r="Z24" i="27"/>
  <c r="AB24" i="27" s="1"/>
  <c r="AA23" i="27" l="1"/>
  <c r="AB23" i="27"/>
  <c r="AA24" i="27"/>
  <c r="AB25" i="27"/>
  <c r="AA25" i="27"/>
  <c r="X13" i="27"/>
  <c r="C6" i="24"/>
  <c r="C5" i="24" s="1"/>
  <c r="D61" i="28"/>
  <c r="D56" i="28"/>
  <c r="C56" i="28"/>
  <c r="D35" i="28"/>
  <c r="D34" i="28" s="1"/>
  <c r="C36" i="28"/>
  <c r="C35" i="28" l="1"/>
  <c r="D11" i="28"/>
  <c r="E120" i="22" l="1"/>
  <c r="D120" i="22"/>
  <c r="D30" i="22"/>
  <c r="E24" i="22"/>
  <c r="E11" i="22"/>
  <c r="D54" i="22"/>
  <c r="D96" i="22"/>
  <c r="E96" i="22"/>
  <c r="E100" i="22"/>
  <c r="D11" i="22"/>
  <c r="D22" i="22"/>
  <c r="D24" i="22"/>
  <c r="E152" i="14"/>
  <c r="E151" i="14"/>
  <c r="E150" i="14"/>
  <c r="E145" i="14"/>
  <c r="E141" i="14"/>
  <c r="E137" i="14"/>
  <c r="E119" i="14"/>
  <c r="E50" i="14"/>
  <c r="E25" i="14"/>
  <c r="E22" i="14"/>
  <c r="E42" i="14" s="1"/>
  <c r="E16" i="14"/>
  <c r="E9" i="14"/>
  <c r="E15" i="14" s="1"/>
  <c r="H11" i="22" l="1"/>
  <c r="G11" i="22"/>
  <c r="G24" i="22"/>
  <c r="H24" i="22"/>
  <c r="H100" i="22"/>
  <c r="G100" i="22"/>
  <c r="H96" i="22"/>
  <c r="G96" i="22"/>
  <c r="G120" i="22"/>
  <c r="H120" i="22"/>
  <c r="E149" i="14"/>
  <c r="E6" i="22"/>
  <c r="E31" i="14"/>
  <c r="E36" i="14" s="1"/>
  <c r="E39" i="14" s="1"/>
  <c r="E40" i="14" s="1"/>
  <c r="E43" i="14"/>
  <c r="D6" i="22"/>
  <c r="F36" i="28" l="1"/>
  <c r="C34" i="28"/>
  <c r="G33" i="28"/>
  <c r="F33" i="28"/>
  <c r="F32" i="28"/>
  <c r="F31" i="28"/>
  <c r="F30" i="28"/>
  <c r="G29" i="28"/>
  <c r="F29" i="28"/>
  <c r="E28" i="28"/>
  <c r="G28" i="28" s="1"/>
  <c r="D24" i="28"/>
  <c r="F23" i="28"/>
  <c r="F22" i="28"/>
  <c r="F21" i="28"/>
  <c r="F20" i="28"/>
  <c r="F19" i="28"/>
  <c r="G18" i="28"/>
  <c r="F18" i="28"/>
  <c r="D17" i="28"/>
  <c r="C17" i="28"/>
  <c r="F16" i="28"/>
  <c r="F15" i="28"/>
  <c r="F14" i="28"/>
  <c r="G12" i="28"/>
  <c r="F12" i="28"/>
  <c r="C11" i="28"/>
  <c r="G9" i="28"/>
  <c r="F9" i="28"/>
  <c r="G8" i="28"/>
  <c r="G36" i="28" l="1"/>
  <c r="G17" i="28"/>
  <c r="E35" i="28"/>
  <c r="E34" i="28" s="1"/>
  <c r="F28" i="28"/>
  <c r="G24" i="28"/>
  <c r="G11" i="28"/>
  <c r="F17" i="28"/>
  <c r="D8" i="26"/>
  <c r="L9" i="26" s="1"/>
  <c r="L8" i="26" s="1"/>
  <c r="E8" i="26"/>
  <c r="M9" i="26" s="1"/>
  <c r="M8" i="26" s="1"/>
  <c r="F11" i="28"/>
  <c r="F24" i="28"/>
  <c r="F8" i="28"/>
  <c r="D6" i="26" l="1"/>
  <c r="D5" i="26" s="1"/>
  <c r="F35" i="28"/>
  <c r="F34" i="28" s="1"/>
  <c r="G35" i="28"/>
  <c r="G34" i="28" s="1"/>
  <c r="E6" i="26"/>
  <c r="E5" i="26" s="1"/>
  <c r="G125" i="14"/>
  <c r="F33" i="24"/>
  <c r="F34" i="24"/>
  <c r="Y34" i="27" l="1"/>
  <c r="Y10" i="27"/>
  <c r="Y11" i="27"/>
  <c r="Y12" i="27"/>
  <c r="Y14" i="27"/>
  <c r="Y9" i="27"/>
  <c r="V34" i="27"/>
  <c r="V37" i="27" s="1"/>
  <c r="AA34" i="27" l="1"/>
  <c r="AB34" i="27"/>
  <c r="Z22" i="27" l="1"/>
  <c r="AB22" i="27" s="1"/>
  <c r="Z21" i="27"/>
  <c r="AB21" i="27" s="1"/>
  <c r="AA22" i="27" l="1"/>
  <c r="AA21" i="27"/>
  <c r="F7" i="22" l="1"/>
  <c r="D32" i="24" l="1"/>
  <c r="F32" i="24" l="1"/>
  <c r="G32" i="24"/>
  <c r="H137" i="14" l="1"/>
  <c r="G138" i="14"/>
  <c r="H138" i="14"/>
  <c r="G139" i="14"/>
  <c r="H139" i="14"/>
  <c r="G140" i="14"/>
  <c r="H140" i="14"/>
  <c r="G142" i="14"/>
  <c r="H142" i="14"/>
  <c r="G143" i="14"/>
  <c r="H143" i="14"/>
  <c r="G144" i="14"/>
  <c r="H144" i="14"/>
  <c r="G146" i="14"/>
  <c r="H146" i="14"/>
  <c r="G147" i="14"/>
  <c r="H147" i="14"/>
  <c r="G148" i="14"/>
  <c r="H148" i="14"/>
  <c r="G150" i="14"/>
  <c r="H151" i="14"/>
  <c r="G152" i="14"/>
  <c r="G145" i="14" l="1"/>
  <c r="G151" i="14"/>
  <c r="G141" i="14"/>
  <c r="H145" i="14"/>
  <c r="H141" i="14"/>
  <c r="G137" i="14"/>
  <c r="H152" i="14"/>
  <c r="H150" i="14"/>
  <c r="D31" i="27"/>
  <c r="E31" i="27"/>
  <c r="F31" i="27"/>
  <c r="G31" i="27"/>
  <c r="H31" i="27"/>
  <c r="I31" i="27"/>
  <c r="J31" i="27"/>
  <c r="K31" i="27"/>
  <c r="L31" i="27"/>
  <c r="M31" i="27"/>
  <c r="N31" i="27"/>
  <c r="O31" i="27"/>
  <c r="P31" i="27"/>
  <c r="P37" i="27" s="1"/>
  <c r="Q31" i="27"/>
  <c r="R31" i="27"/>
  <c r="S31" i="27"/>
  <c r="T31" i="27"/>
  <c r="T37" i="27" s="1"/>
  <c r="C31" i="27"/>
  <c r="Z31" i="27" l="1"/>
  <c r="H149" i="14"/>
  <c r="G149" i="14"/>
  <c r="H32" i="22"/>
  <c r="F28" i="24" l="1"/>
  <c r="G28" i="24"/>
  <c r="G8" i="24" l="1"/>
  <c r="G10" i="24"/>
  <c r="F12" i="24"/>
  <c r="F14" i="24"/>
  <c r="F15" i="24"/>
  <c r="Z32" i="27"/>
  <c r="Y32" i="27"/>
  <c r="Y16" i="27"/>
  <c r="Y18" i="27"/>
  <c r="Y19" i="27"/>
  <c r="Y20" i="27"/>
  <c r="Z18" i="27"/>
  <c r="Z19" i="27"/>
  <c r="Z20" i="27"/>
  <c r="X16" i="27"/>
  <c r="Z16" i="27"/>
  <c r="AB16" i="27" l="1"/>
  <c r="AB20" i="27"/>
  <c r="AB18" i="27"/>
  <c r="AA18" i="27"/>
  <c r="AB19" i="27"/>
  <c r="AB32" i="27"/>
  <c r="AA20" i="27"/>
  <c r="AA16" i="27"/>
  <c r="AA32" i="27"/>
  <c r="AA19" i="27"/>
  <c r="B32" i="27"/>
  <c r="B10" i="27"/>
  <c r="B11" i="27"/>
  <c r="B12" i="27"/>
  <c r="Z30" i="27"/>
  <c r="Y30" i="27"/>
  <c r="X30" i="27"/>
  <c r="Y31" i="27" l="1"/>
  <c r="AB31" i="27" s="1"/>
  <c r="AB30" i="27"/>
  <c r="AA30" i="27"/>
  <c r="F8" i="26" l="1"/>
  <c r="G9" i="26"/>
  <c r="N9" i="26" l="1"/>
  <c r="N8" i="26" s="1"/>
  <c r="F6" i="26"/>
  <c r="F5" i="26" s="1"/>
  <c r="X32" i="27"/>
  <c r="AA31" i="27"/>
  <c r="U31" i="27"/>
  <c r="Z14" i="27"/>
  <c r="AB14" i="27" s="1"/>
  <c r="X14" i="27"/>
  <c r="Z12" i="27"/>
  <c r="AB12" i="27" s="1"/>
  <c r="X12" i="27"/>
  <c r="Z11" i="27"/>
  <c r="AB11" i="27" s="1"/>
  <c r="X11" i="27"/>
  <c r="Z10" i="27"/>
  <c r="AB10" i="27" s="1"/>
  <c r="X10" i="27"/>
  <c r="Z9" i="27"/>
  <c r="X9" i="27"/>
  <c r="S8" i="27"/>
  <c r="R8" i="27"/>
  <c r="Q8" i="27"/>
  <c r="O37" i="27"/>
  <c r="N8" i="27"/>
  <c r="M8" i="27"/>
  <c r="L8" i="27"/>
  <c r="K8" i="27"/>
  <c r="I8" i="27"/>
  <c r="I37" i="27" s="1"/>
  <c r="H8" i="27"/>
  <c r="Z8" i="27" s="1"/>
  <c r="G8" i="27"/>
  <c r="F8" i="27"/>
  <c r="E8" i="27"/>
  <c r="D8" i="27"/>
  <c r="C8" i="27"/>
  <c r="G31" i="24"/>
  <c r="F31" i="24"/>
  <c r="F30" i="24"/>
  <c r="D29" i="24"/>
  <c r="D5" i="24" s="1"/>
  <c r="F10" i="24"/>
  <c r="F9" i="24"/>
  <c r="F8" i="24"/>
  <c r="F7" i="24"/>
  <c r="G6" i="24"/>
  <c r="H146" i="22"/>
  <c r="G32" i="22"/>
  <c r="F22" i="22"/>
  <c r="H8" i="22"/>
  <c r="G8" i="22"/>
  <c r="G22" i="22" l="1"/>
  <c r="H22" i="22"/>
  <c r="Y8" i="27"/>
  <c r="AA8" i="27" s="1"/>
  <c r="X8" i="27"/>
  <c r="AA14" i="27"/>
  <c r="AA11" i="27"/>
  <c r="AA10" i="27"/>
  <c r="AA12" i="27"/>
  <c r="AA9" i="27"/>
  <c r="U37" i="27"/>
  <c r="D37" i="27"/>
  <c r="H37" i="27"/>
  <c r="L37" i="27"/>
  <c r="X31" i="27"/>
  <c r="Q37" i="27"/>
  <c r="R37" i="27"/>
  <c r="E37" i="27"/>
  <c r="M37" i="27"/>
  <c r="F37" i="27"/>
  <c r="J37" i="27"/>
  <c r="N37" i="27"/>
  <c r="G37" i="27"/>
  <c r="K37" i="27"/>
  <c r="S37" i="27"/>
  <c r="F29" i="24"/>
  <c r="G29" i="24"/>
  <c r="H9" i="26"/>
  <c r="H7" i="22"/>
  <c r="AB9" i="27"/>
  <c r="C37" i="27"/>
  <c r="F6" i="24"/>
  <c r="F6" i="22"/>
  <c r="G7" i="22"/>
  <c r="Z37" i="27" l="1"/>
  <c r="X37" i="27"/>
  <c r="AB8" i="27"/>
  <c r="Y37" i="27"/>
  <c r="G5" i="24"/>
  <c r="G8" i="26"/>
  <c r="F5" i="24"/>
  <c r="H8" i="26"/>
  <c r="H30" i="22"/>
  <c r="G30" i="22"/>
  <c r="H6" i="22"/>
  <c r="G6" i="22"/>
  <c r="G6" i="26" l="1"/>
  <c r="AB37" i="27"/>
  <c r="AA37" i="27"/>
  <c r="H6" i="26"/>
  <c r="H122" i="14"/>
  <c r="G122" i="14"/>
  <c r="H5" i="26" l="1"/>
  <c r="G5" i="26"/>
  <c r="H45" i="14" l="1"/>
  <c r="H46" i="14"/>
  <c r="H47" i="14"/>
  <c r="H48" i="14"/>
  <c r="H49" i="14"/>
  <c r="G45" i="14"/>
  <c r="G46" i="14"/>
  <c r="G47" i="14"/>
  <c r="G48" i="14"/>
  <c r="G49" i="14"/>
  <c r="G129" i="14"/>
  <c r="G130" i="14"/>
  <c r="G131" i="14"/>
  <c r="G133" i="14"/>
  <c r="G134" i="14"/>
  <c r="G135" i="14"/>
  <c r="H121" i="14"/>
  <c r="H123" i="14"/>
  <c r="G121" i="14"/>
  <c r="G123" i="14"/>
  <c r="H10" i="14"/>
  <c r="H11" i="14"/>
  <c r="H12" i="14"/>
  <c r="H13" i="14"/>
  <c r="H14" i="14"/>
  <c r="H17" i="14"/>
  <c r="H18" i="14"/>
  <c r="H19" i="14"/>
  <c r="H21" i="14"/>
  <c r="H24" i="14"/>
  <c r="H26" i="14"/>
  <c r="H27" i="14"/>
  <c r="H28" i="14"/>
  <c r="H30" i="14"/>
  <c r="H32" i="14"/>
  <c r="H34" i="14"/>
  <c r="H8" i="14" l="1"/>
  <c r="G18" i="14"/>
  <c r="G19" i="14"/>
  <c r="G21" i="14"/>
  <c r="G10" i="14"/>
  <c r="G11" i="14"/>
  <c r="G12" i="14"/>
  <c r="G13" i="14"/>
  <c r="G14" i="14"/>
  <c r="G17" i="14"/>
  <c r="G23" i="14"/>
  <c r="G24" i="14"/>
  <c r="G26" i="14"/>
  <c r="G27" i="14"/>
  <c r="G28" i="14"/>
  <c r="G29" i="14"/>
  <c r="G30" i="14"/>
  <c r="G32" i="14"/>
  <c r="G34" i="14"/>
  <c r="G8" i="14"/>
  <c r="G119" i="14" l="1"/>
  <c r="H119" i="14"/>
  <c r="D132" i="14"/>
  <c r="E132" i="14"/>
  <c r="F132" i="14"/>
  <c r="C132" i="14"/>
  <c r="D128" i="14"/>
  <c r="E128" i="14"/>
  <c r="F128" i="14"/>
  <c r="C128" i="14"/>
  <c r="H25" i="14" l="1"/>
  <c r="H22" i="14"/>
  <c r="G128" i="14"/>
  <c r="G132" i="14"/>
  <c r="H50" i="14"/>
  <c r="G50" i="14"/>
  <c r="G22" i="14"/>
  <c r="G25" i="14"/>
  <c r="G42" i="14" l="1"/>
  <c r="H42" i="14"/>
  <c r="H9" i="14"/>
  <c r="H16" i="14"/>
  <c r="G9" i="14"/>
  <c r="G16" i="14"/>
  <c r="G15" i="14" l="1"/>
  <c r="H31" i="14"/>
  <c r="H15" i="14"/>
  <c r="G43" i="14"/>
  <c r="H43" i="14"/>
  <c r="H36" i="14" l="1"/>
  <c r="G31" i="14"/>
  <c r="G36" i="14" l="1"/>
  <c r="H39" i="14"/>
  <c r="G39" i="14" l="1"/>
</calcChain>
</file>

<file path=xl/sharedStrings.xml><?xml version="1.0" encoding="utf-8"?>
<sst xmlns="http://schemas.openxmlformats.org/spreadsheetml/2006/main" count="895" uniqueCount="512">
  <si>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</si>
  <si>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</si>
  <si>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</si>
  <si>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</si>
  <si>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</si>
  <si>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</si>
  <si>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</si>
  <si>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</si>
  <si>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</si>
  <si>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</si>
  <si>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</si>
  <si>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</si>
  <si>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</si>
  <si>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</si>
  <si>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</si>
  <si>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</si>
  <si>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</si>
  <si>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</si>
  <si>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>(ініціали, прізвище)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</si>
  <si>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</si>
  <si>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</si>
  <si>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</si>
  <si>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</si>
  <si>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</si>
  <si>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</si>
  <si>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</si>
  <si>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</si>
  <si>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</si>
  <si>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</si>
  <si>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</si>
  <si>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</si>
  <si>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</si>
  <si>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</si>
  <si>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</si>
  <si>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</si>
  <si>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</si>
  <si>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</si>
  <si>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Чистий рух коштів від операційної діяльності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</si>
  <si>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</si>
  <si>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</si>
  <si>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</si>
  <si>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</si>
  <si>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</si>
  <si>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</si>
  <si>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</si>
  <si>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</si>
  <si>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</si>
  <si>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</si>
  <si>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</si>
  <si>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</si>
  <si>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</si>
  <si>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</si>
  <si>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</si>
  <si>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</si>
  <si>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 xml:space="preserve">Надходження грошових коштів від операційної діяльності 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</si>
  <si>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</si>
  <si>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</si>
  <si>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</si>
  <si>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</si>
  <si>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</si>
  <si>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</si>
  <si>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 xml:space="preserve">Надходження грошових коштів від інвестиційної діяльності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</si>
  <si>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</si>
  <si>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</si>
  <si>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</si>
  <si>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</si>
  <si>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</si>
  <si>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</si>
  <si>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</si>
  <si>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</si>
  <si>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</si>
  <si>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</si>
  <si>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</si>
  <si>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</si>
  <si>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</si>
  <si>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</si>
  <si>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</si>
  <si>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</si>
  <si>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Виручка від реалізації продукції (товарів, робіт, послуг)</t>
  </si>
  <si>
    <t>Цільове фінансування 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</si>
  <si>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</si>
  <si>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</si>
  <si>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</si>
  <si>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</si>
  <si>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</si>
  <si>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</si>
  <si>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</si>
  <si>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</si>
  <si>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</si>
  <si>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військовий збір</t>
  </si>
  <si>
    <t xml:space="preserve">єдиний внесок на загальнообов'язкове державне соціальне страхування    </t>
  </si>
  <si>
    <t>Надходження від відсотків за залишками коштів на поточних рахунках</t>
  </si>
  <si>
    <t>Витрачання на придбання необоротних активів, у тому числі: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</si>
  <si>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</si>
  <si>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</si>
  <si>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</si>
  <si>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</si>
  <si>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</si>
  <si>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</si>
  <si>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</si>
  <si>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</si>
  <si>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тис. грн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</si>
  <si>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</si>
  <si>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</si>
  <si>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</si>
  <si>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</si>
  <si>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</si>
  <si>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</si>
  <si>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</si>
  <si>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</si>
  <si>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</si>
  <si>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</si>
  <si>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</si>
  <si>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</si>
  <si>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</si>
  <si>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</si>
  <si>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</si>
  <si>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</si>
  <si>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</si>
  <si>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</si>
  <si>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</si>
  <si>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</si>
  <si>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</si>
  <si>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</si>
  <si>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</si>
  <si>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</si>
  <si>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</si>
  <si>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</si>
  <si>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</si>
  <si>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</si>
  <si>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</si>
  <si>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</si>
  <si>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</si>
  <si>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</si>
  <si>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</si>
  <si>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Придбання (створення) нематеріальних активів, усього, у т.ч.:</t>
  </si>
  <si>
    <t xml:space="preserve">Інші надходження (розшифрувати) </t>
  </si>
  <si>
    <t>Розділ І. Формування фінансових результатів</t>
  </si>
  <si>
    <t>Розділ IІ. Розрахунки з бюджетом</t>
  </si>
  <si>
    <t>Розділ ІІІ. Рух грошових коштів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</si>
  <si>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</si>
  <si>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</si>
  <si>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</si>
  <si>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</si>
  <si>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</si>
  <si>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</si>
  <si>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3.1</t>
  </si>
  <si>
    <t>4.</t>
  </si>
  <si>
    <t>4.1</t>
  </si>
  <si>
    <t>5.</t>
  </si>
  <si>
    <t>6.1</t>
  </si>
  <si>
    <t>Витрачання на погашення позик/кредитів/облігацій/векселів</t>
  </si>
  <si>
    <t>Надходження від відсотків за залишками коштів на депозитних рахунках</t>
  </si>
  <si>
    <t>5.1</t>
  </si>
  <si>
    <t>5.2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</si>
  <si>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</si>
  <si>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</si>
  <si>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</si>
  <si>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</si>
  <si>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</si>
  <si>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</si>
  <si>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</si>
  <si>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</si>
  <si>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</si>
  <si>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</si>
  <si>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Розшифровка №2 до розділу І "Формування фінансових результатів за джерелами доходів та використання коштів"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</si>
  <si>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</si>
  <si>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</si>
  <si>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</si>
  <si>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</si>
  <si>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</si>
  <si>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</si>
  <si>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</si>
  <si>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</si>
  <si>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</si>
  <si>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</si>
  <si>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 xml:space="preserve">Нараховані до сплати податки та збори до Державного бюджету України (податкові платежі) </t>
  </si>
  <si>
    <t xml:space="preserve">кошти державного бюджету від Національної служби здоров’я України </t>
  </si>
  <si>
    <t>кошти медичної субвенції з державного бюджету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</si>
  <si>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</si>
  <si>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кошти бюджету ВМТГ/ кошти бюджету ВМОТГ</t>
  </si>
  <si>
    <r>
      <t>кошти державного бюджету</t>
    </r>
    <r>
      <rPr>
        <i/>
        <sz val="14"/>
        <color indexed="8"/>
        <rFont val="Times New Roman"/>
        <family val="1"/>
        <charset val="204"/>
      </rPr>
      <t xml:space="preserve"> (відшкодування лікарям - інтернам за проходження інтернатури)</t>
    </r>
  </si>
  <si>
    <t>благодійна допомога в натуральному еквіваленті</t>
  </si>
  <si>
    <r>
      <t>кошти орендарів</t>
    </r>
    <r>
      <rPr>
        <i/>
        <sz val="14"/>
        <rFont val="Times New Roman"/>
        <family val="1"/>
        <charset val="204"/>
      </rPr>
      <t xml:space="preserve"> (за енергоносії, оренду майна)</t>
    </r>
  </si>
  <si>
    <t>благодійна допомога в грошовому еквіваленті</t>
  </si>
  <si>
    <r>
      <t xml:space="preserve">реалізації майна </t>
    </r>
    <r>
      <rPr>
        <i/>
        <sz val="14"/>
        <rFont val="Times New Roman"/>
        <family val="1"/>
        <charset val="204"/>
      </rPr>
      <t>(кошти за деревину та металобрухт)</t>
    </r>
    <r>
      <rPr>
        <sz val="14"/>
        <rFont val="Times New Roman"/>
        <family val="1"/>
        <charset val="204"/>
      </rPr>
      <t xml:space="preserve"> </t>
    </r>
  </si>
  <si>
    <t>нарахування амортизації на безоплатно отримані активи</t>
  </si>
  <si>
    <t>нарахування амортизації на  активи отримані як цільове фінансування</t>
  </si>
  <si>
    <t>Матеріальні витрати, усього у т.ч.</t>
  </si>
  <si>
    <t>антисептичні та дезінфекційні засоби</t>
  </si>
  <si>
    <t xml:space="preserve">засоби індивідуального захисту </t>
  </si>
  <si>
    <t>канцтовари (папір А4)</t>
  </si>
  <si>
    <t>медичні бланки</t>
  </si>
  <si>
    <t>рецептурні бланки</t>
  </si>
  <si>
    <t>миючі засоби</t>
  </si>
  <si>
    <t>бензин</t>
  </si>
  <si>
    <t>дистильована вода для лабораторії</t>
  </si>
  <si>
    <t>запасні частини</t>
  </si>
  <si>
    <t>господарські товари,електрозберігаючі лампочки</t>
  </si>
  <si>
    <t>будівельні матеріали</t>
  </si>
  <si>
    <t xml:space="preserve">оплата теплопостачання </t>
  </si>
  <si>
    <t xml:space="preserve">оплата водопостачання та водовідведення </t>
  </si>
  <si>
    <t>оплата електроенергії</t>
  </si>
  <si>
    <t>оплата природнього газу</t>
  </si>
  <si>
    <t>вивіз сміття</t>
  </si>
  <si>
    <t>програма "Стоп-грипп" медикаменти</t>
  </si>
  <si>
    <t>поточний ремонт медичного обладнання</t>
  </si>
  <si>
    <t>заправка картриджів  та ремонт комп"ютерної техніки</t>
  </si>
  <si>
    <t>поточний ремонт автомобілів</t>
  </si>
  <si>
    <t>повірка медичного обладнання</t>
  </si>
  <si>
    <t>технічне обслуговування підйомника</t>
  </si>
  <si>
    <t>телекомунікаційні послуги</t>
  </si>
  <si>
    <t>оплата за оренду по вул. Я.Шепеля,23</t>
  </si>
  <si>
    <t>послуги охорони</t>
  </si>
  <si>
    <t>послуги страхування</t>
  </si>
  <si>
    <t>послуги з утримання будівель</t>
  </si>
  <si>
    <t>послуги з інформатизації</t>
  </si>
  <si>
    <t>послуги з утилізації засобів індивідуального захисту</t>
  </si>
  <si>
    <t>послуги архіва</t>
  </si>
  <si>
    <t>дератизація</t>
  </si>
  <si>
    <t>ремонт охоронної сигналізації</t>
  </si>
  <si>
    <t>технічне обстеження будівель</t>
  </si>
  <si>
    <t>послуги лабораторій</t>
  </si>
  <si>
    <t>канцелярські товари</t>
  </si>
  <si>
    <t>витрати на підвищення кваліфікації та перепідготовки кадрів</t>
  </si>
  <si>
    <t>супровід програм</t>
  </si>
  <si>
    <t>поточний ремонт приміщення</t>
  </si>
  <si>
    <t>формова обрізка дерев</t>
  </si>
  <si>
    <t xml:space="preserve">комісія за касове обслуговування </t>
  </si>
  <si>
    <t>асфальтування території</t>
  </si>
  <si>
    <t>оплата теплопостачання</t>
  </si>
  <si>
    <t>влаштування локальної мережі</t>
  </si>
  <si>
    <t>часткове списання вартості періодичних видань</t>
  </si>
  <si>
    <t>адміністративний збір</t>
  </si>
  <si>
    <t xml:space="preserve">безкоштовне забезпечення технічними та іншими засобами осіб з інвалідністю,які є жителями міста Вінниці,відповідно до їх індивідуальних програм реабілітації </t>
  </si>
  <si>
    <t xml:space="preserve">безкоштовне забезпечення лікувальним харчуванням при фенілкетонурії </t>
  </si>
  <si>
    <t>лікарські засоби централізованого постачання</t>
  </si>
  <si>
    <t>імунобіологічні препарати централізованого постачання</t>
  </si>
  <si>
    <t>бланки лікарняних листів</t>
  </si>
  <si>
    <t>резервний фонд</t>
  </si>
  <si>
    <t>витрати на відрядження</t>
  </si>
  <si>
    <t>банківське обслуговування</t>
  </si>
  <si>
    <t>закриття податкового кредиту</t>
  </si>
  <si>
    <t xml:space="preserve">безкоштовне забезпечення продуктами дитячого харчування </t>
  </si>
  <si>
    <t>електромонтажні роботи</t>
  </si>
  <si>
    <t>послуги з навчання</t>
  </si>
  <si>
    <t>послуги з оцінки нерухомого майна</t>
  </si>
  <si>
    <t>послуги по зрізці аварійних дерев</t>
  </si>
  <si>
    <t>формована обрізка дерев</t>
  </si>
  <si>
    <t>відшкодування коштів на забезпечення імуносупресорами хворих після трансплантації органів (нирки, або печінки, або серця)</t>
  </si>
  <si>
    <t>відшкодування коштів на пільгові категорії громадян (рецепти)</t>
  </si>
  <si>
    <t>1.1.1</t>
  </si>
  <si>
    <t>1.1.2</t>
  </si>
  <si>
    <t>1.1.3</t>
  </si>
  <si>
    <t xml:space="preserve">Амортизація </t>
  </si>
  <si>
    <t>1.1.5</t>
  </si>
  <si>
    <t>полуги з утилізації засобів індивідуального захисту</t>
  </si>
  <si>
    <t>1.2.1</t>
  </si>
  <si>
    <t>1.2.2</t>
  </si>
  <si>
    <t>1.2.3</t>
  </si>
  <si>
    <t>1.2.4</t>
  </si>
  <si>
    <t>1.2.5</t>
  </si>
  <si>
    <t>Інші адміністративні витрати, в т.ч.:</t>
  </si>
  <si>
    <t>1.3.2</t>
  </si>
  <si>
    <t>1.3.3</t>
  </si>
  <si>
    <t>1.3.5</t>
  </si>
  <si>
    <t>афальтування території</t>
  </si>
  <si>
    <t>Кошти  бюджету ВМТГ/кошти бюджету ВМОТГ</t>
  </si>
  <si>
    <t>2.1.1</t>
  </si>
  <si>
    <t>2.2.5</t>
  </si>
  <si>
    <t>3.1.1</t>
  </si>
  <si>
    <t>4.1.1</t>
  </si>
  <si>
    <t>Вартість оборотних активів (матеріалів), придбаних у попередніх періодах за рахунок коштів  медичної субвенції з державного бюджету</t>
  </si>
  <si>
    <t>лікарські засоби</t>
  </si>
  <si>
    <t>5.1.1</t>
  </si>
  <si>
    <t xml:space="preserve">вивіз  сміття </t>
  </si>
  <si>
    <t>5.2.5</t>
  </si>
  <si>
    <t>6.</t>
  </si>
  <si>
    <t>Централізоване постачання лікарських засобів та виробів медичного призначення від МОЗ, Укрмедпостач тощо  в натуральній формі</t>
  </si>
  <si>
    <t>6.1.1</t>
  </si>
  <si>
    <t xml:space="preserve">вироби медичного призначення </t>
  </si>
  <si>
    <t>7.</t>
  </si>
  <si>
    <t>Благодійна допомога в натуральному еквіваленті</t>
  </si>
  <si>
    <t>7.1</t>
  </si>
  <si>
    <t>7.1.1</t>
  </si>
  <si>
    <t xml:space="preserve">лікарські засоби </t>
  </si>
  <si>
    <t>захисний одяг</t>
  </si>
  <si>
    <t>8.</t>
  </si>
  <si>
    <t>8.1</t>
  </si>
  <si>
    <t>9.</t>
  </si>
  <si>
    <t>9.1</t>
  </si>
  <si>
    <t>10.</t>
  </si>
  <si>
    <t>10.1</t>
  </si>
  <si>
    <t>Амортизація основних засобів і нематеріальних активів загальногосподарського призначення</t>
  </si>
  <si>
    <t>амортизація від безоплатно отриманих активів</t>
  </si>
  <si>
    <t>Директор КНП "ЦПМСД №5 м.Вінниці"</t>
  </si>
  <si>
    <t xml:space="preserve">(ініціали, прізвище)    </t>
  </si>
  <si>
    <t>Централізоване постачання (кошти бюджету ВМОТГ/кошти бюджету ВМТГ)</t>
  </si>
  <si>
    <t>відхилення +/-</t>
  </si>
  <si>
    <t>відхилення %</t>
  </si>
  <si>
    <t>Директор  КНП "ЦПМСД №5 м.Вінниці</t>
  </si>
  <si>
    <t xml:space="preserve">Розшифровка до розділу  IV. "Капітальні інвестиції" за джерелами надходження </t>
  </si>
  <si>
    <t>надходження від відсотків за залишками коштів на депозитних рахунках</t>
  </si>
  <si>
    <t>імунобіологічні препарати</t>
  </si>
  <si>
    <t>вироби медичного призначення та допоміжні засоби</t>
  </si>
  <si>
    <r>
      <t>витратні для комп</t>
    </r>
    <r>
      <rPr>
        <sz val="14"/>
        <rFont val="Calibri"/>
        <family val="2"/>
        <charset val="204"/>
      </rPr>
      <t>'</t>
    </r>
    <r>
      <rPr>
        <sz val="14"/>
        <rFont val="Times New Roman"/>
        <family val="1"/>
        <charset val="204"/>
      </rPr>
      <t>ютерної техніки</t>
    </r>
  </si>
  <si>
    <t>послуги лабораторії</t>
  </si>
  <si>
    <t>пломбування лічильника</t>
  </si>
  <si>
    <t>рекламні та маркетингові послуги</t>
  </si>
  <si>
    <t>послуги з начання</t>
  </si>
  <si>
    <t>безкоштовне забезпечення хворих на ювенільний ревматоїдний артрит</t>
  </si>
  <si>
    <t xml:space="preserve">імунобіологічні препарати </t>
  </si>
  <si>
    <t>вироби медичного призначення та допоможні засоби</t>
  </si>
  <si>
    <t>поточний ремонт приміщеннь</t>
  </si>
  <si>
    <t xml:space="preserve">рекламні та маркетингові послуги </t>
  </si>
  <si>
    <t>2.2.1</t>
  </si>
  <si>
    <t>операційна система Microsoft FQC-09481 WinPro 10 SNGL OLP NL Legalization GetGenuine wCOA (61шт-І півріччя 2020р), (23шт-І півріччя 2021р.)</t>
  </si>
  <si>
    <t>програмне забезпечення МІС « Доктор Елекс» із супроводом (30шт-І півріччя 2020р.), (20 шт.-І півріччя 2021р.)</t>
  </si>
  <si>
    <t>платні послуги</t>
  </si>
  <si>
    <t>інструкції до вакцини</t>
  </si>
  <si>
    <t>облаштування електричного підйомника для людей з інвалідністю</t>
  </si>
  <si>
    <t>послуги з утилізації люмінісцентних ламп</t>
  </si>
  <si>
    <t>повірка опору заземлення</t>
  </si>
  <si>
    <t>перевірка пожежних гідрантів, засобів обліку</t>
  </si>
  <si>
    <t>послуги з видачі тех.умов на газифікацію</t>
  </si>
  <si>
    <t>послуги з випробування та гідропромивки системи опалення</t>
  </si>
  <si>
    <t>ремонт техніки</t>
  </si>
  <si>
    <t>видавничі послуги</t>
  </si>
  <si>
    <t>поточний ремонт приміщень</t>
  </si>
  <si>
    <t>заборгованість по Комбінату і різниця в податках</t>
  </si>
  <si>
    <t>інші податки, збори та платежі (профспілкові внески)</t>
  </si>
  <si>
    <t>Собівартість реалізованої продукції (товарів, робіт, послуг)</t>
  </si>
  <si>
    <t>Матеріальні витрати, усього, у т.ч.:</t>
  </si>
  <si>
    <t>програма "Стоп-грип" медикаменти</t>
  </si>
  <si>
    <t>Матеріальні витрати, усього, у т.ч.</t>
  </si>
  <si>
    <t>технічне обслуговування вогнегасників</t>
  </si>
  <si>
    <t>витратні для комп'ютерної техніки</t>
  </si>
  <si>
    <t>Кошти державного бюджету від Національної служби здоров'я України</t>
  </si>
  <si>
    <t>заправка картриджів  та ремонт комп'ютерної техніки</t>
  </si>
  <si>
    <t>Інші витрати, усього, в т.ч.:</t>
  </si>
  <si>
    <t>Амортизація від безоплатно отриманих активів</t>
  </si>
  <si>
    <t>відшкодування пільгових пенсій (3 чол.)</t>
  </si>
  <si>
    <t>капітальний ремонт</t>
  </si>
  <si>
    <t>реалізація товарів (відходи пластику-шприци, системи та ін.)</t>
  </si>
  <si>
    <t>технічне обслуговування газового обладнання</t>
  </si>
  <si>
    <t>виготовлення технічного паспорту приміщень</t>
  </si>
  <si>
    <t>монтаж та налагоджування системи відеоспостереження</t>
  </si>
  <si>
    <t>перереєстрація транспортних засобів</t>
  </si>
  <si>
    <t>послуги по виготовленню кадастрового плану земельної ділянки</t>
  </si>
  <si>
    <t>послуги з технічного контролю стану транспортних засобів</t>
  </si>
  <si>
    <t>Капітальний ремонт</t>
  </si>
  <si>
    <t>Інші операційні витрати  усього, у т.ч.:</t>
  </si>
  <si>
    <t>Матеіальні витрати , усього, у т.ч.:</t>
  </si>
  <si>
    <t>централізоване постачання лікарських засобів та виробів медичного призначення від МОЗ, Укрмедпостач тощо в натуральній формі</t>
  </si>
  <si>
    <t>капітальний ремонт приміщень, за адресою вул. Замостянська,49</t>
  </si>
  <si>
    <t>капітальний ремонт системи опалення по вул. Замостянська,49</t>
  </si>
  <si>
    <t>Нарахування амортизації на безоплатно отримані активи</t>
  </si>
  <si>
    <t xml:space="preserve">(ініціали, прізвище) </t>
  </si>
  <si>
    <t>план</t>
  </si>
  <si>
    <t>факт</t>
  </si>
  <si>
    <t>Розшифровка до розділу  ІІІ "Рух грошових коштів (за прямим методом)"</t>
  </si>
  <si>
    <t>відхилення,
%</t>
  </si>
  <si>
    <t>Надходження грошових коштів від операційної діяльності</t>
  </si>
  <si>
    <t>Цільове фінансування, усього, у тому числі:</t>
  </si>
  <si>
    <t xml:space="preserve">кошти міського бюджету/бюджету ВМОТГ </t>
  </si>
  <si>
    <t>кошти державного бюджету (стажування лікарів-інтернів 1-го року)</t>
  </si>
  <si>
    <t>кошти медичної субвенції з державного бюджету на лікування хворих на цукровий та нецукровий діабет</t>
  </si>
  <si>
    <t>Інші надходження, усього, у тому числі:</t>
  </si>
  <si>
    <t>благодійні внески</t>
  </si>
  <si>
    <t>благодійні внески в натурі</t>
  </si>
  <si>
    <t>перерахований залишок</t>
  </si>
  <si>
    <t>реалізації майна (кошти за деревину та металобрухт)</t>
  </si>
  <si>
    <t>Інші витрати, усього, у тому числі:</t>
  </si>
  <si>
    <t>аліменти</t>
  </si>
  <si>
    <t>власні кошти (благодійні)</t>
  </si>
  <si>
    <t xml:space="preserve">кошти обласного бюджету </t>
  </si>
  <si>
    <t>кошти бюджету Вінницької міської об'єднаної територіальної громади</t>
  </si>
  <si>
    <t>Придбання (створення) основних засобів,  усього, у тому числі:</t>
  </si>
  <si>
    <t>Придбання (виготовлення) інших необоротних матеріальних активів, усього, у тому числі:</t>
  </si>
  <si>
    <t>Придбання (створення) нематеріальних активів, усього, у тому числі:</t>
  </si>
  <si>
    <t>операційна система Microsoft FQC-09481 WinPro 10 SNGL OLP NL Legalization GetGenuine wCOA (61шт)</t>
  </si>
  <si>
    <t>програмне забезпечення МІС « Доктор Елекс» із супроводом (30шт)</t>
  </si>
  <si>
    <t xml:space="preserve">капітальний ремонт, усього, у тому числі: </t>
  </si>
  <si>
    <t>капітальний ремонт  амбулаторії ЗПСМ №3 по вул. Чумацькій,221</t>
  </si>
  <si>
    <t xml:space="preserve">Капітальний ремонт, усього, у тому числі: </t>
  </si>
  <si>
    <t>(ініціали,прізвище)</t>
  </si>
  <si>
    <t>факт                          2021 року</t>
  </si>
  <si>
    <t>факт                         2021 року</t>
  </si>
  <si>
    <t>(  )</t>
  </si>
  <si>
    <t>подарункові набори</t>
  </si>
  <si>
    <t>вироби медичного призначення  централізованого постачання</t>
  </si>
  <si>
    <t>імунобіологічні препарати  централізованого постачання</t>
  </si>
  <si>
    <t xml:space="preserve">програма "Стоп-грипп" </t>
  </si>
  <si>
    <t>програма " Стоп грип"</t>
  </si>
  <si>
    <t xml:space="preserve">вироби медичного призначення централізованого постачання </t>
  </si>
  <si>
    <t>господарські матеріали</t>
  </si>
  <si>
    <t>благодійна допомога у грошовому еквіваленті</t>
  </si>
  <si>
    <t>кошти орендарів (за енергоносії, оренду майна)</t>
  </si>
  <si>
    <t>центрифуга ОПн- 3.04 (2шт-2021р.)</t>
  </si>
  <si>
    <t>біохімічний аналізатор  "Фотометр " МБА-540" (2021р.-1шт)</t>
  </si>
  <si>
    <t>рецепція (1 шт.-2021р.)</t>
  </si>
  <si>
    <t>холодильник INDESIT TIAA 14- 8418108010 (2шт.-2021р.)</t>
  </si>
  <si>
    <t>кондиціонер OLMO OSH-10LD7W (2шт.-2021р.)</t>
  </si>
  <si>
    <t>теплолічильник СВТУ-11T RP DN 32 в комплекті (1 шт.-2021р.)</t>
  </si>
  <si>
    <t>теплолічильник СВТУ-11T RP DN 32 в комплекті (1шт.-2021р.)</t>
  </si>
  <si>
    <t>Придбання (виготовлення) інших необоротних матеріальних активів</t>
  </si>
  <si>
    <t>Придбання (створення) нематеріальних активів, усього в тому числі</t>
  </si>
  <si>
    <t>Встановлення кондиціонерів</t>
  </si>
  <si>
    <t>ПДВ на подарункові набори</t>
  </si>
  <si>
    <t>господарські товари</t>
  </si>
  <si>
    <t>9.1.1</t>
  </si>
  <si>
    <t>9.2</t>
  </si>
  <si>
    <t>встановлення кондиціонерів</t>
  </si>
  <si>
    <t>пдв на подарунки</t>
  </si>
  <si>
    <t>холодильна камера (1шт.-2021р.)</t>
  </si>
  <si>
    <t>центрифуга ОПн-3.04 (2шт.-2021р.)</t>
  </si>
  <si>
    <t>котел електричний 6 кВт (1шт.-2021р.)</t>
  </si>
  <si>
    <t>інші платежі (профвнески)</t>
  </si>
  <si>
    <t>Інші витрати (аліменти, виконавчі листи)</t>
  </si>
  <si>
    <t>Кошти субвенції з державного бюджету</t>
  </si>
  <si>
    <t>Наталя РОМАН</t>
  </si>
  <si>
    <t>минулий 2021 рік</t>
  </si>
  <si>
    <t>поточний 2022 рік</t>
  </si>
  <si>
    <t>Звітний 2022 рік</t>
  </si>
  <si>
    <t>План звітнього 2022 року</t>
  </si>
  <si>
    <t>Факт звітнього 2022 року</t>
  </si>
  <si>
    <t>Факт минулого 2021 року</t>
  </si>
  <si>
    <t>план                     2022 року</t>
  </si>
  <si>
    <t>факт                          2022 року</t>
  </si>
  <si>
    <t>факт                         2022 року</t>
  </si>
  <si>
    <t xml:space="preserve">Інші надходження (кошти бюджету ВМТГ) </t>
  </si>
  <si>
    <t>витратні для встановлення програмного забезпечення "Доктор Елекс"</t>
  </si>
  <si>
    <t>послуги з гідравлічних випробувань</t>
  </si>
  <si>
    <t>технічна підтримка та абонентське обслуговування програмного забезпечення "Доктор Елекс"</t>
  </si>
  <si>
    <t>технічна підтримка та абонентське обслуговування програмного запезпечення "Доктор Елекс"</t>
  </si>
  <si>
    <t>апарат УЗД (1шт.-2022р.)</t>
  </si>
  <si>
    <t xml:space="preserve">апарат УЗД (1 шт-2022р.) </t>
  </si>
  <si>
    <t>Кошти  бюджету ВМТГ/кошти бюджету ВМОТГ (залишки миулих періодів)</t>
  </si>
  <si>
    <t>3.1.5</t>
  </si>
  <si>
    <t>3.2</t>
  </si>
  <si>
    <t>3.2.1</t>
  </si>
  <si>
    <t>встановлення системи охоронної сигналізації</t>
  </si>
  <si>
    <t>розроблення проекту землеустрою земельної ділянки В.Хутори</t>
  </si>
  <si>
    <t>стандартне приєднання до електричних мереж В.Хутори</t>
  </si>
  <si>
    <t>атестація робочих місць за умовами праці</t>
  </si>
  <si>
    <t>технічне обслуговування телекомунікаційних ліній</t>
  </si>
  <si>
    <t>страхуання майна</t>
  </si>
  <si>
    <t>встановлення пожежних шаф в приміщенні будівлі по вул. Замостянській, 49</t>
  </si>
  <si>
    <t>замінна вікон</t>
  </si>
  <si>
    <t>Кошти медичної субвенції з державного бюджету (залишки минулих періодів)</t>
  </si>
  <si>
    <t>вироби медичного призначення</t>
  </si>
  <si>
    <t>8.1.1</t>
  </si>
  <si>
    <t>8.2</t>
  </si>
  <si>
    <t>8.2.1</t>
  </si>
  <si>
    <t>9.2.1</t>
  </si>
  <si>
    <t>9.2.4</t>
  </si>
  <si>
    <t>9.3</t>
  </si>
  <si>
    <t>9.3.1</t>
  </si>
  <si>
    <t>10.1.2</t>
  </si>
  <si>
    <t>10.1.3</t>
  </si>
  <si>
    <t>11.</t>
  </si>
  <si>
    <t>11.1</t>
  </si>
  <si>
    <t>11.1.1</t>
  </si>
  <si>
    <t>11.2</t>
  </si>
  <si>
    <t>11.2.5</t>
  </si>
  <si>
    <t>12.</t>
  </si>
  <si>
    <t>12.1</t>
  </si>
  <si>
    <t>12.1.4</t>
  </si>
  <si>
    <t>13.</t>
  </si>
  <si>
    <t>13.1</t>
  </si>
  <si>
    <t>13.1.4</t>
  </si>
  <si>
    <t>13.3</t>
  </si>
  <si>
    <t>13.3.4</t>
  </si>
  <si>
    <t>кошти субвенції з державного бюджету (залишки минулих періодів)</t>
  </si>
  <si>
    <t>залишки коштів бюджету ВМТГ/ кошти бюджету ВМОТГ</t>
  </si>
  <si>
    <t>страхування майна</t>
  </si>
  <si>
    <t>заміна вікон</t>
  </si>
  <si>
    <t>електрокардіограф Юкард-100  (3 шт.-2022р.)</t>
  </si>
  <si>
    <t>легковий автомобіль Peugeot 301 (1шт-2021р.) ,  (2шт-2022р.)</t>
  </si>
  <si>
    <t>комп'ютерний комплекс   (9шт-2021р.) , (10 шт-2022р.)</t>
  </si>
  <si>
    <t>біохімічний аналізатор "Фотометр"( 1шт-2021р.)</t>
  </si>
  <si>
    <t>WM 31620-1111 prisma SMART, APAP, Терапевтичний комплект, тип WM 090 TD, зі зволожувачем prismaAQUA, (1шт-2022р.)</t>
  </si>
  <si>
    <t>Насос шприцевий ."Біомед" М200А (1шт-2022р.)</t>
  </si>
  <si>
    <t>Аналізатор сечі CITOLAB READER 300 (1шт-2022р.)</t>
  </si>
  <si>
    <t xml:space="preserve">ноутбук (4 шт.-2021р.), (5 шт.-2022р.) , ноутбук/Dell Latitude 3420 FHD i5 16G RAM, 512Go SSD, 4 cell battery, Fingerprint reader (1шт-2022р.),Ноутбук/Dell Latitude 3420 FHD i5 8G RAM, 512Go SSD, 4 cell battery, Fingerprint reader (1шт.-2022р.) </t>
  </si>
  <si>
    <t>комутатор  (1шт-2021р.)</t>
  </si>
  <si>
    <t>автоматичний зовнішній дефібрилятор  AED 7000 (1шт.-2021р.), (3 шт.-2022р.) дефібрилятор Saver One (1 шт-2022р.)</t>
  </si>
  <si>
    <t>Власні кошти (благодійна допомога у натуральному еквіваленті)</t>
  </si>
  <si>
    <t>Інші джерела  (кошти НСЗУ,в т.ч. за рахунок залишку коштів минулих періодів)</t>
  </si>
  <si>
    <t>Мініелектростанція NIK DG500E (генератор)</t>
  </si>
  <si>
    <t>Циркуляційний фланцевий насос з ізоляцією</t>
  </si>
  <si>
    <t>Кисневий концертратор (Концентратор кисню АЕ-8-W)</t>
  </si>
  <si>
    <t>холодильник INDESIT TIAA 14- 8418108010 (2шт.-2021р.), Холодильник з льодовим захистом Vestforst VLS 504A AC, (242л)  для зберігання вакцин</t>
  </si>
  <si>
    <t>холодильна камера( 1шт.-2021р.), морозильна камера для зберігання вакцини з акумуляторами холоду Vestfrost MF 314</t>
  </si>
  <si>
    <t>14.</t>
  </si>
  <si>
    <t>15.</t>
  </si>
  <si>
    <t>Надходження від платних  послуг</t>
  </si>
  <si>
    <t>Надходження від реалізації майна (металобрухт) (натура)</t>
  </si>
  <si>
    <t>металобрухт</t>
  </si>
  <si>
    <t>1.1.4</t>
  </si>
  <si>
    <t>11.1.2</t>
  </si>
  <si>
    <t>7.1.2</t>
  </si>
  <si>
    <t>інші доходи (списання металобрухту )</t>
  </si>
  <si>
    <t>14.1</t>
  </si>
  <si>
    <t>14.1.1</t>
  </si>
  <si>
    <t>14.1.2</t>
  </si>
  <si>
    <r>
      <t>Кошти орендарів</t>
    </r>
    <r>
      <rPr>
        <b/>
        <i/>
        <sz val="14"/>
        <rFont val="Times New Roman"/>
        <family val="1"/>
        <charset val="204"/>
      </rPr>
      <t xml:space="preserve"> (за енергоносії, оренду майна)</t>
    </r>
  </si>
  <si>
    <r>
      <t>Кошти державного бюджету</t>
    </r>
    <r>
      <rPr>
        <b/>
        <i/>
        <sz val="14"/>
        <color indexed="8"/>
        <rFont val="Times New Roman"/>
        <family val="1"/>
        <charset val="204"/>
      </rPr>
      <t xml:space="preserve"> (відшкодування лікарям - інтернам за проходження інтернатури)</t>
    </r>
  </si>
  <si>
    <t>15.1</t>
  </si>
  <si>
    <t>15.1.1</t>
  </si>
  <si>
    <t>перевірка  засобів обліку</t>
  </si>
  <si>
    <t>ЗВІТ
 про виконання показників фінансового плану Комунальне некомерційне підприємство "Центр первинної медико-санітарної допомоги №5 м.Вінниці"
за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</si>
</sst>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\ _₴_-;\-* #,##0.0\ _₴_-;_-* &quot;-&quot;?\ _₴_-;_-@_-"/>
  </numFmts>
  <fonts count="11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9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i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b/>
      <sz val="16"/>
      <color indexed="9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sz val="14"/>
      <name val="Calibri"/>
      <family val="2"/>
      <charset val="204"/>
    </font>
    <font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0"/>
      <name val="Arial Cyr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5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3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4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  <xf numFmtId="0" fontId="4" fillId="0" borderId="0"/>
  </cellStyleXfs>
  <cellXfs count="552">
    <xf numFmtId="0" fontId="0" fillId="0" borderId="0" xfId="0"/>
    <xf numFmtId="0" fontId="62" fillId="29" borderId="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0" xfId="0" applyFont="1" applyFill="1" applyAlignment="1">
      <alignment horizontal="left" vertical="center"/>
    </xf>
    <xf numFmtId="0" fontId="66" fillId="0" borderId="0" xfId="0" applyFont="1" applyFill="1" applyAlignment="1">
      <alignment horizontal="center" vertical="center"/>
    </xf>
    <xf numFmtId="0" fontId="62" fillId="0" borderId="3" xfId="0" applyFont="1" applyFill="1" applyBorder="1" applyAlignment="1">
      <alignment horizontal="center" vertical="center"/>
    </xf>
    <xf numFmtId="0" fontId="67" fillId="29" borderId="3" xfId="182" applyFont="1" applyFill="1" applyBorder="1" applyAlignment="1">
      <alignment vertical="center" wrapText="1"/>
      <protection locked="0"/>
    </xf>
    <xf numFmtId="0" fontId="67" fillId="29" borderId="3" xfId="0" applyFont="1" applyFill="1" applyBorder="1" applyAlignment="1">
      <alignment horizontal="center" vertical="center"/>
    </xf>
    <xf numFmtId="179" fontId="67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179" fontId="62" fillId="29" borderId="3" xfId="0" applyNumberFormat="1" applyFont="1" applyFill="1" applyBorder="1" applyAlignment="1">
      <alignment horizontal="center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7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7" fillId="29" borderId="3" xfId="0" applyFont="1" applyFill="1" applyBorder="1" applyAlignment="1" applyProtection="1">
      <alignment horizontal="left" vertical="center" wrapText="1"/>
      <protection locked="0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177" fontId="67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vertical="center"/>
    </xf>
    <xf numFmtId="49" fontId="67" fillId="29" borderId="3" xfId="0" applyNumberFormat="1" applyFont="1" applyFill="1" applyBorder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7" fillId="0" borderId="0" xfId="0" applyFont="1" applyFill="1" applyBorder="1" applyAlignment="1" applyProtection="1">
      <alignment horizontal="left" vertical="center"/>
      <protection locked="0"/>
    </xf>
    <xf numFmtId="170" fontId="62" fillId="0" borderId="0" xfId="0" applyNumberFormat="1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vertical="center" wrapText="1"/>
    </xf>
    <xf numFmtId="0" fontId="64" fillId="0" borderId="0" xfId="0" applyFont="1" applyFill="1" applyBorder="1" applyAlignment="1">
      <alignment vertical="center"/>
    </xf>
    <xf numFmtId="0" fontId="63" fillId="0" borderId="0" xfId="0" applyFont="1" applyFill="1" applyBorder="1" applyAlignment="1">
      <alignment horizontal="center" vertical="center" wrapText="1"/>
    </xf>
    <xf numFmtId="0" fontId="64" fillId="0" borderId="0" xfId="0" applyFont="1" applyFill="1" applyBorder="1" applyAlignment="1">
      <alignment horizontal="center" vertical="center" wrapText="1"/>
    </xf>
    <xf numFmtId="0" fontId="64" fillId="0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/>
    </xf>
    <xf numFmtId="0" fontId="64" fillId="22" borderId="17" xfId="0" applyFont="1" applyFill="1" applyBorder="1" applyAlignment="1">
      <alignment horizontal="center" vertical="center" wrapText="1"/>
    </xf>
    <xf numFmtId="0" fontId="64" fillId="0" borderId="3" xfId="0" applyFont="1" applyFill="1" applyBorder="1" applyAlignment="1">
      <alignment horizontal="center" vertical="center"/>
    </xf>
    <xf numFmtId="0" fontId="64" fillId="22" borderId="3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vertical="center" wrapText="1"/>
    </xf>
    <xf numFmtId="0" fontId="64" fillId="22" borderId="17" xfId="0" applyFont="1" applyFill="1" applyBorder="1" applyAlignment="1">
      <alignment horizontal="center" vertical="center" wrapText="1" shrinkToFit="1"/>
    </xf>
    <xf numFmtId="0" fontId="64" fillId="22" borderId="16" xfId="0" applyFont="1" applyFill="1" applyBorder="1" applyAlignment="1">
      <alignment horizontal="center" vertical="center" wrapText="1"/>
    </xf>
    <xf numFmtId="0" fontId="64" fillId="0" borderId="13" xfId="0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center" vertical="center" wrapText="1" shrinkToFit="1"/>
    </xf>
    <xf numFmtId="0" fontId="69" fillId="22" borderId="3" xfId="0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vertical="center"/>
    </xf>
    <xf numFmtId="0" fontId="68" fillId="22" borderId="3" xfId="0" applyFont="1" applyFill="1" applyBorder="1" applyAlignment="1">
      <alignment horizontal="center" vertical="center" wrapText="1"/>
    </xf>
    <xf numFmtId="179" fontId="68" fillId="22" borderId="3" xfId="0" applyNumberFormat="1" applyFont="1" applyFill="1" applyBorder="1" applyAlignment="1">
      <alignment horizontal="center" vertical="center" wrapText="1"/>
    </xf>
    <xf numFmtId="179" fontId="68" fillId="29" borderId="3" xfId="0" applyNumberFormat="1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horizontal="left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79" fontId="71" fillId="22" borderId="3" xfId="0" applyNumberFormat="1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 wrapText="1"/>
    </xf>
    <xf numFmtId="179" fontId="72" fillId="22" borderId="3" xfId="0" applyNumberFormat="1" applyFont="1" applyFill="1" applyBorder="1" applyAlignment="1">
      <alignment vertical="center"/>
    </xf>
    <xf numFmtId="0" fontId="71" fillId="0" borderId="3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left" vertical="center" wrapText="1"/>
    </xf>
    <xf numFmtId="0" fontId="69" fillId="22" borderId="15" xfId="0" applyFont="1" applyFill="1" applyBorder="1" applyAlignment="1">
      <alignment horizontal="center" vertical="center"/>
    </xf>
    <xf numFmtId="0" fontId="75" fillId="22" borderId="3" xfId="0" applyFont="1" applyFill="1" applyBorder="1" applyAlignment="1">
      <alignment horizontal="center" vertical="center"/>
    </xf>
    <xf numFmtId="0" fontId="69" fillId="22" borderId="3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 wrapText="1"/>
    </xf>
    <xf numFmtId="0" fontId="69" fillId="22" borderId="15" xfId="0" applyFont="1" applyFill="1" applyBorder="1" applyAlignment="1">
      <alignment vertical="center"/>
    </xf>
    <xf numFmtId="0" fontId="69" fillId="22" borderId="3" xfId="0" applyFont="1" applyFill="1" applyBorder="1" applyAlignment="1">
      <alignment horizontal="left" vertical="center"/>
    </xf>
    <xf numFmtId="177" fontId="68" fillId="22" borderId="3" xfId="0" applyNumberFormat="1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177" fontId="69" fillId="22" borderId="3" xfId="0" applyNumberFormat="1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 wrapText="1"/>
    </xf>
    <xf numFmtId="0" fontId="69" fillId="22" borderId="3" xfId="0" applyFont="1" applyFill="1" applyBorder="1" applyAlignment="1">
      <alignment vertical="center"/>
    </xf>
    <xf numFmtId="0" fontId="71" fillId="22" borderId="3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horizontal="left" vertical="center" wrapText="1"/>
    </xf>
    <xf numFmtId="0" fontId="69" fillId="22" borderId="14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vertical="center"/>
    </xf>
    <xf numFmtId="179" fontId="76" fillId="0" borderId="3" xfId="0" applyNumberFormat="1" applyFont="1" applyFill="1" applyBorder="1" applyAlignment="1">
      <alignment horizontal="center" vertical="center" wrapText="1"/>
    </xf>
    <xf numFmtId="179" fontId="76" fillId="29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left" vertical="center"/>
    </xf>
    <xf numFmtId="49" fontId="79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center" vertical="center" wrapText="1"/>
    </xf>
    <xf numFmtId="179" fontId="79" fillId="29" borderId="3" xfId="0" applyNumberFormat="1" applyFont="1" applyFill="1" applyBorder="1" applyAlignment="1">
      <alignment horizontal="center" vertical="center" wrapText="1"/>
    </xf>
    <xf numFmtId="49" fontId="68" fillId="0" borderId="3" xfId="0" applyNumberFormat="1" applyFont="1" applyFill="1" applyBorder="1" applyAlignment="1">
      <alignment horizontal="center" vertical="center"/>
    </xf>
    <xf numFmtId="0" fontId="68" fillId="0" borderId="3" xfId="0" applyFont="1" applyFill="1" applyBorder="1" applyAlignment="1">
      <alignment vertical="center" wrapText="1"/>
    </xf>
    <xf numFmtId="0" fontId="68" fillId="0" borderId="3" xfId="0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179" fontId="71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vertical="center"/>
    </xf>
    <xf numFmtId="0" fontId="79" fillId="0" borderId="3" xfId="0" applyFont="1" applyFill="1" applyBorder="1" applyAlignment="1">
      <alignment vertical="center" wrapText="1"/>
    </xf>
    <xf numFmtId="0" fontId="79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/>
    </xf>
    <xf numFmtId="0" fontId="68" fillId="0" borderId="3" xfId="0" applyFont="1" applyFill="1" applyBorder="1" applyAlignment="1">
      <alignment horizontal="left" vertical="center" wrapText="1"/>
    </xf>
    <xf numFmtId="0" fontId="71" fillId="0" borderId="3" xfId="0" applyFont="1" applyFill="1" applyBorder="1" applyAlignment="1">
      <alignment horizontal="left" vertical="center"/>
    </xf>
    <xf numFmtId="0" fontId="70" fillId="0" borderId="3" xfId="0" applyFont="1" applyFill="1" applyBorder="1" applyAlignment="1">
      <alignment horizontal="left" vertical="center"/>
    </xf>
    <xf numFmtId="0" fontId="79" fillId="22" borderId="3" xfId="0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/>
    </xf>
    <xf numFmtId="0" fontId="82" fillId="0" borderId="3" xfId="0" applyFont="1" applyFill="1" applyBorder="1" applyAlignment="1">
      <alignment horizontal="left" vertical="center"/>
    </xf>
    <xf numFmtId="49" fontId="80" fillId="0" borderId="3" xfId="0" applyNumberFormat="1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/>
    </xf>
    <xf numFmtId="179" fontId="71" fillId="29" borderId="3" xfId="0" applyNumberFormat="1" applyFont="1" applyFill="1" applyBorder="1" applyAlignment="1">
      <alignment horizontal="center" vertical="center" wrapText="1"/>
    </xf>
    <xf numFmtId="179" fontId="80" fillId="29" borderId="3" xfId="0" applyNumberFormat="1" applyFont="1" applyFill="1" applyBorder="1" applyAlignment="1">
      <alignment horizontal="center" vertical="center" wrapText="1"/>
    </xf>
    <xf numFmtId="179" fontId="70" fillId="29" borderId="3" xfId="0" applyNumberFormat="1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179" fontId="78" fillId="29" borderId="3" xfId="0" applyNumberFormat="1" applyFont="1" applyFill="1" applyBorder="1" applyAlignment="1">
      <alignment horizontal="center" vertical="center" wrapText="1"/>
    </xf>
    <xf numFmtId="179" fontId="73" fillId="29" borderId="3" xfId="0" applyNumberFormat="1" applyFont="1" applyFill="1" applyBorder="1" applyAlignment="1">
      <alignment horizontal="center" vertical="center" wrapText="1"/>
    </xf>
    <xf numFmtId="0" fontId="78" fillId="22" borderId="3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vertical="center"/>
    </xf>
    <xf numFmtId="0" fontId="68" fillId="0" borderId="0" xfId="0" applyFont="1" applyFill="1" applyBorder="1" applyAlignment="1">
      <alignment vertical="center"/>
    </xf>
    <xf numFmtId="0" fontId="69" fillId="22" borderId="0" xfId="0" applyFont="1" applyFill="1" applyBorder="1" applyAlignment="1">
      <alignment horizontal="left" vertical="center" wrapText="1"/>
    </xf>
    <xf numFmtId="0" fontId="69" fillId="22" borderId="0" xfId="0" applyFont="1" applyFill="1" applyBorder="1" applyAlignment="1">
      <alignment horizontal="center" vertical="center"/>
    </xf>
    <xf numFmtId="170" fontId="69" fillId="29" borderId="0" xfId="0" applyNumberFormat="1" applyFont="1" applyFill="1" applyBorder="1" applyAlignment="1">
      <alignment horizontal="right" vertical="center" wrapText="1"/>
    </xf>
    <xf numFmtId="0" fontId="86" fillId="0" borderId="0" xfId="0" quotePrefix="1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vertical="center"/>
    </xf>
    <xf numFmtId="0" fontId="81" fillId="29" borderId="0" xfId="0" applyFont="1" applyFill="1" applyAlignment="1">
      <alignment horizontal="left" vertical="center"/>
    </xf>
    <xf numFmtId="0" fontId="78" fillId="22" borderId="3" xfId="0" applyFont="1" applyFill="1" applyBorder="1" applyAlignment="1">
      <alignment horizontal="center" vertical="center" wrapText="1"/>
    </xf>
    <xf numFmtId="179" fontId="78" fillId="22" borderId="3" xfId="0" applyNumberFormat="1" applyFont="1" applyFill="1" applyBorder="1" applyAlignment="1">
      <alignment horizontal="center" vertical="center" wrapText="1"/>
    </xf>
    <xf numFmtId="179" fontId="78" fillId="22" borderId="3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vertical="center"/>
    </xf>
    <xf numFmtId="0" fontId="71" fillId="22" borderId="3" xfId="0" applyFont="1" applyFill="1" applyBorder="1" applyAlignment="1">
      <alignment horizontal="center" vertical="center" wrapText="1"/>
    </xf>
    <xf numFmtId="179" fontId="71" fillId="22" borderId="3" xfId="0" applyNumberFormat="1" applyFont="1" applyFill="1" applyBorder="1" applyAlignment="1">
      <alignment horizontal="center" vertical="center" wrapText="1"/>
    </xf>
    <xf numFmtId="179" fontId="70" fillId="22" borderId="3" xfId="0" applyNumberFormat="1" applyFont="1" applyFill="1" applyBorder="1" applyAlignment="1">
      <alignment horizontal="center" vertical="center" wrapText="1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applyFont="1" applyFill="1" applyBorder="1" applyAlignment="1">
      <alignment horizontal="center" vertical="center" wrapText="1"/>
    </xf>
    <xf numFmtId="0" fontId="70" fillId="22" borderId="3" xfId="0" quotePrefix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vertical="center"/>
    </xf>
    <xf numFmtId="0" fontId="70" fillId="0" borderId="13" xfId="0" applyFont="1" applyFill="1" applyBorder="1" applyAlignment="1">
      <alignment horizontal="center" vertical="center" wrapText="1"/>
    </xf>
    <xf numFmtId="0" fontId="81" fillId="0" borderId="0" xfId="0" quotePrefix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vertical="center"/>
    </xf>
    <xf numFmtId="0" fontId="77" fillId="22" borderId="0" xfId="0" applyFont="1" applyFill="1" applyBorder="1" applyAlignment="1">
      <alignment horizontal="center" vertical="center"/>
    </xf>
    <xf numFmtId="0" fontId="77" fillId="22" borderId="0" xfId="0" applyFont="1" applyFill="1" applyAlignment="1">
      <alignment horizontal="right" vertical="center"/>
    </xf>
    <xf numFmtId="0" fontId="77" fillId="22" borderId="0" xfId="0" applyFont="1" applyFill="1" applyAlignment="1">
      <alignment vertical="center"/>
    </xf>
    <xf numFmtId="0" fontId="77" fillId="0" borderId="0" xfId="0" applyFont="1" applyFill="1" applyAlignment="1">
      <alignment vertical="center"/>
    </xf>
    <xf numFmtId="0" fontId="76" fillId="22" borderId="0" xfId="0" applyFont="1" applyFill="1" applyBorder="1" applyAlignment="1">
      <alignment horizontal="left" vertical="center"/>
    </xf>
    <xf numFmtId="0" fontId="76" fillId="0" borderId="0" xfId="0" applyFont="1" applyFill="1" applyBorder="1" applyAlignment="1">
      <alignment horizontal="left" vertical="center"/>
    </xf>
    <xf numFmtId="0" fontId="77" fillId="22" borderId="13" xfId="0" applyFont="1" applyFill="1" applyBorder="1" applyAlignment="1">
      <alignment vertical="center"/>
    </xf>
    <xf numFmtId="0" fontId="77" fillId="22" borderId="13" xfId="0" applyFont="1" applyFill="1" applyBorder="1" applyAlignment="1">
      <alignment horizontal="center" vertical="center"/>
    </xf>
    <xf numFmtId="0" fontId="77" fillId="22" borderId="0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0" fontId="77" fillId="22" borderId="3" xfId="0" applyFont="1" applyFill="1" applyBorder="1" applyAlignment="1">
      <alignment vertical="center" wrapText="1"/>
    </xf>
    <xf numFmtId="0" fontId="77" fillId="22" borderId="0" xfId="0" applyFont="1" applyFill="1" applyBorder="1" applyAlignment="1">
      <alignment vertical="center" wrapText="1"/>
    </xf>
    <xf numFmtId="0" fontId="77" fillId="22" borderId="3" xfId="0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/>
    </xf>
    <xf numFmtId="0" fontId="77" fillId="22" borderId="15" xfId="0" applyFont="1" applyFill="1" applyBorder="1" applyAlignment="1">
      <alignment horizontal="center" vertical="center"/>
    </xf>
    <xf numFmtId="0" fontId="77" fillId="0" borderId="3" xfId="0" applyFont="1" applyFill="1" applyBorder="1" applyAlignment="1">
      <alignment horizontal="center" vertical="center"/>
    </xf>
    <xf numFmtId="0" fontId="77" fillId="22" borderId="0" xfId="0" applyFont="1" applyFill="1" applyBorder="1" applyAlignment="1">
      <alignment horizontal="center" vertical="center" wrapText="1"/>
    </xf>
    <xf numFmtId="179" fontId="76" fillId="0" borderId="3" xfId="0" applyNumberFormat="1" applyFont="1" applyFill="1" applyBorder="1" applyAlignment="1">
      <alignment vertical="center"/>
    </xf>
    <xf numFmtId="179" fontId="76" fillId="22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vertical="center"/>
    </xf>
    <xf numFmtId="179" fontId="76" fillId="22" borderId="0" xfId="0" applyNumberFormat="1" applyFont="1" applyFill="1" applyBorder="1" applyAlignment="1">
      <alignment horizontal="center" vertical="center"/>
    </xf>
    <xf numFmtId="179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vertical="center"/>
    </xf>
    <xf numFmtId="179" fontId="77" fillId="0" borderId="3" xfId="0" applyNumberFormat="1" applyFont="1" applyFill="1" applyBorder="1" applyAlignment="1">
      <alignment horizontal="center" vertical="center"/>
    </xf>
    <xf numFmtId="179" fontId="81" fillId="22" borderId="3" xfId="0" applyNumberFormat="1" applyFont="1" applyFill="1" applyBorder="1" applyAlignment="1">
      <alignment horizontal="center" vertical="center" wrapText="1"/>
    </xf>
    <xf numFmtId="179" fontId="77" fillId="29" borderId="3" xfId="0" applyNumberFormat="1" applyFont="1" applyFill="1" applyBorder="1" applyAlignment="1">
      <alignment horizontal="center" vertical="center"/>
    </xf>
    <xf numFmtId="179" fontId="77" fillId="0" borderId="3" xfId="0" applyNumberFormat="1" applyFont="1" applyFill="1" applyBorder="1" applyAlignment="1">
      <alignment vertical="center"/>
    </xf>
    <xf numFmtId="179" fontId="77" fillId="29" borderId="3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Border="1" applyAlignment="1">
      <alignment horizontal="center" vertical="center" wrapText="1"/>
    </xf>
    <xf numFmtId="179" fontId="77" fillId="22" borderId="0" xfId="0" applyNumberFormat="1" applyFont="1" applyFill="1" applyBorder="1" applyAlignment="1">
      <alignment horizontal="center" vertical="center"/>
    </xf>
    <xf numFmtId="179" fontId="89" fillId="22" borderId="0" xfId="0" applyNumberFormat="1" applyFont="1" applyFill="1" applyBorder="1" applyAlignment="1">
      <alignment horizontal="center" vertical="center" wrapText="1"/>
    </xf>
    <xf numFmtId="179" fontId="90" fillId="22" borderId="0" xfId="0" applyNumberFormat="1" applyFont="1" applyFill="1" applyBorder="1" applyAlignment="1">
      <alignment horizontal="center" vertical="center" wrapText="1"/>
    </xf>
    <xf numFmtId="0" fontId="76" fillId="22" borderId="3" xfId="0" applyFont="1" applyFill="1" applyBorder="1" applyAlignment="1">
      <alignment horizontal="center" vertical="center" wrapText="1"/>
    </xf>
    <xf numFmtId="179" fontId="76" fillId="22" borderId="3" xfId="0" applyNumberFormat="1" applyFont="1" applyFill="1" applyBorder="1" applyAlignment="1">
      <alignment horizontal="center" vertical="center" wrapText="1"/>
    </xf>
    <xf numFmtId="169" fontId="77" fillId="22" borderId="0" xfId="0" applyNumberFormat="1" applyFont="1" applyFill="1" applyBorder="1" applyAlignment="1">
      <alignment horizontal="center" vertical="center" wrapText="1"/>
    </xf>
    <xf numFmtId="0" fontId="76" fillId="22" borderId="0" xfId="0" applyFont="1" applyFill="1" applyBorder="1" applyAlignment="1">
      <alignment horizontal="right" vertical="center"/>
    </xf>
    <xf numFmtId="169" fontId="76" fillId="22" borderId="0" xfId="0" applyNumberFormat="1" applyFont="1" applyFill="1" applyBorder="1" applyAlignment="1">
      <alignment horizontal="right" vertical="center"/>
    </xf>
    <xf numFmtId="0" fontId="77" fillId="22" borderId="0" xfId="0" applyFont="1" applyFill="1" applyAlignment="1">
      <alignment horizontal="center" vertical="center"/>
    </xf>
    <xf numFmtId="0" fontId="77" fillId="0" borderId="0" xfId="0" applyFont="1" applyFill="1" applyAlignment="1">
      <alignment horizontal="center" vertical="center"/>
    </xf>
    <xf numFmtId="0" fontId="77" fillId="22" borderId="0" xfId="0" applyFont="1" applyFill="1" applyAlignment="1"/>
    <xf numFmtId="0" fontId="77" fillId="22" borderId="0" xfId="0" applyFont="1" applyFill="1" applyBorder="1" applyAlignment="1">
      <alignment horizontal="center"/>
    </xf>
    <xf numFmtId="0" fontId="77" fillId="22" borderId="0" xfId="0" applyFont="1" applyFill="1" applyBorder="1" applyAlignment="1"/>
    <xf numFmtId="0" fontId="77" fillId="0" borderId="0" xfId="0" applyFont="1" applyFill="1" applyAlignment="1"/>
    <xf numFmtId="0" fontId="92" fillId="22" borderId="0" xfId="0" applyFont="1" applyFill="1" applyAlignment="1">
      <alignment horizontal="center" vertical="center"/>
    </xf>
    <xf numFmtId="0" fontId="92" fillId="22" borderId="0" xfId="0" applyFont="1" applyFill="1" applyBorder="1" applyAlignment="1">
      <alignment horizontal="center" vertical="center"/>
    </xf>
    <xf numFmtId="0" fontId="77" fillId="22" borderId="0" xfId="0" applyFont="1" applyFill="1" applyAlignment="1">
      <alignment vertical="center" wrapText="1" shrinkToFit="1"/>
    </xf>
    <xf numFmtId="0" fontId="77" fillId="22" borderId="0" xfId="0" applyFont="1" applyFill="1" applyBorder="1" applyAlignment="1">
      <alignment vertical="center" wrapText="1" shrinkToFit="1"/>
    </xf>
    <xf numFmtId="0" fontId="83" fillId="0" borderId="0" xfId="0" applyFont="1" applyFill="1" applyAlignment="1">
      <alignment vertical="center"/>
    </xf>
    <xf numFmtId="0" fontId="69" fillId="22" borderId="16" xfId="0" applyFont="1" applyFill="1" applyBorder="1" applyAlignment="1">
      <alignment horizontal="left" vertical="center" wrapText="1"/>
    </xf>
    <xf numFmtId="0" fontId="62" fillId="30" borderId="0" xfId="0" applyFont="1" applyFill="1" applyBorder="1" applyAlignment="1">
      <alignment vertical="center"/>
    </xf>
    <xf numFmtId="0" fontId="71" fillId="22" borderId="15" xfId="0" applyFont="1" applyFill="1" applyBorder="1" applyAlignment="1">
      <alignment horizontal="left" vertical="center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0" xfId="0" applyFont="1" applyFill="1" applyBorder="1" applyAlignment="1">
      <alignment horizontal="center" vertical="center" wrapText="1"/>
    </xf>
    <xf numFmtId="0" fontId="69" fillId="22" borderId="0" xfId="0" applyFont="1" applyFill="1" applyBorder="1" applyAlignment="1">
      <alignment vertical="center"/>
    </xf>
    <xf numFmtId="177" fontId="69" fillId="22" borderId="0" xfId="0" applyNumberFormat="1" applyFont="1" applyFill="1" applyBorder="1" applyAlignment="1">
      <alignment horizontal="center" vertical="center" wrapText="1"/>
    </xf>
    <xf numFmtId="179" fontId="72" fillId="22" borderId="0" xfId="0" applyNumberFormat="1" applyFont="1" applyFill="1" applyBorder="1" applyAlignment="1">
      <alignment vertical="center"/>
    </xf>
    <xf numFmtId="0" fontId="81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center" vertical="center"/>
    </xf>
    <xf numFmtId="0" fontId="71" fillId="22" borderId="0" xfId="0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horizontal="center" vertical="center" wrapText="1"/>
    </xf>
    <xf numFmtId="179" fontId="71" fillId="22" borderId="0" xfId="0" applyNumberFormat="1" applyFont="1" applyFill="1" applyBorder="1" applyAlignment="1">
      <alignment vertical="center"/>
    </xf>
    <xf numFmtId="0" fontId="70" fillId="22" borderId="0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179" fontId="96" fillId="29" borderId="3" xfId="0" applyNumberFormat="1" applyFont="1" applyFill="1" applyBorder="1" applyAlignment="1">
      <alignment horizontal="center" vertical="center" wrapText="1"/>
    </xf>
    <xf numFmtId="179" fontId="95" fillId="22" borderId="3" xfId="0" applyNumberFormat="1" applyFont="1" applyFill="1" applyBorder="1" applyAlignment="1">
      <alignment vertical="center"/>
    </xf>
    <xf numFmtId="179" fontId="63" fillId="22" borderId="3" xfId="0" applyNumberFormat="1" applyFont="1" applyFill="1" applyBorder="1" applyAlignment="1">
      <alignment vertical="center"/>
    </xf>
    <xf numFmtId="177" fontId="70" fillId="22" borderId="3" xfId="0" applyNumberFormat="1" applyFont="1" applyFill="1" applyBorder="1" applyAlignment="1">
      <alignment vertical="center"/>
    </xf>
    <xf numFmtId="177" fontId="71" fillId="22" borderId="3" xfId="0" applyNumberFormat="1" applyFont="1" applyFill="1" applyBorder="1" applyAlignment="1">
      <alignment vertical="center"/>
    </xf>
    <xf numFmtId="177" fontId="95" fillId="29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horizontal="right" vertical="center" wrapText="1"/>
    </xf>
    <xf numFmtId="177" fontId="68" fillId="29" borderId="3" xfId="0" applyNumberFormat="1" applyFont="1" applyFill="1" applyBorder="1" applyAlignment="1">
      <alignment horizontal="center" vertical="center" wrapText="1"/>
    </xf>
    <xf numFmtId="177" fontId="68" fillId="22" borderId="3" xfId="0" applyNumberFormat="1" applyFont="1" applyFill="1" applyBorder="1" applyAlignment="1">
      <alignment vertical="center"/>
    </xf>
    <xf numFmtId="177" fontId="69" fillId="22" borderId="3" xfId="0" applyNumberFormat="1" applyFont="1" applyFill="1" applyBorder="1" applyAlignment="1">
      <alignment vertical="center"/>
    </xf>
    <xf numFmtId="0" fontId="80" fillId="0" borderId="3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81" fillId="0" borderId="0" xfId="0" applyFont="1" applyFill="1" applyAlignment="1">
      <alignment vertical="center"/>
    </xf>
    <xf numFmtId="0" fontId="68" fillId="22" borderId="15" xfId="0" applyFont="1" applyFill="1" applyBorder="1" applyAlignment="1">
      <alignment horizontal="left" vertical="center" wrapText="1"/>
    </xf>
    <xf numFmtId="0" fontId="68" fillId="0" borderId="3" xfId="0" applyFont="1" applyBorder="1" applyAlignment="1">
      <alignment horizontal="left" vertical="center" wrapText="1"/>
    </xf>
    <xf numFmtId="0" fontId="68" fillId="22" borderId="3" xfId="0" quotePrefix="1" applyFont="1" applyFill="1" applyBorder="1" applyAlignment="1">
      <alignment horizontal="center" vertical="center"/>
    </xf>
    <xf numFmtId="0" fontId="69" fillId="0" borderId="3" xfId="0" quotePrefix="1" applyFont="1" applyFill="1" applyBorder="1" applyAlignment="1">
      <alignment horizontal="center" vertical="center"/>
    </xf>
    <xf numFmtId="0" fontId="68" fillId="22" borderId="15" xfId="0" applyFont="1" applyFill="1" applyBorder="1" applyAlignment="1">
      <alignment horizontal="center" vertical="center" wrapText="1"/>
    </xf>
    <xf numFmtId="179" fontId="95" fillId="29" borderId="3" xfId="0" applyNumberFormat="1" applyFont="1" applyFill="1" applyBorder="1" applyAlignment="1">
      <alignment horizontal="center" vertical="center" wrapText="1"/>
    </xf>
    <xf numFmtId="180" fontId="64" fillId="0" borderId="0" xfId="0" applyNumberFormat="1" applyFont="1" applyFill="1" applyBorder="1" applyAlignment="1">
      <alignment vertical="center"/>
    </xf>
    <xf numFmtId="177" fontId="95" fillId="22" borderId="3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7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4" fillId="29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vertical="center" wrapText="1"/>
    </xf>
    <xf numFmtId="0" fontId="64" fillId="29" borderId="0" xfId="0" applyFont="1" applyFill="1" applyBorder="1" applyAlignment="1">
      <alignment horizontal="center" vertical="center"/>
    </xf>
    <xf numFmtId="179" fontId="74" fillId="29" borderId="3" xfId="0" applyNumberFormat="1" applyFont="1" applyFill="1" applyBorder="1" applyAlignment="1">
      <alignment horizontal="center" vertical="center" wrapText="1"/>
    </xf>
    <xf numFmtId="179" fontId="85" fillId="29" borderId="3" xfId="0" applyNumberFormat="1" applyFont="1" applyFill="1" applyBorder="1" applyAlignment="1">
      <alignment horizontal="center" vertical="center" wrapText="1"/>
    </xf>
    <xf numFmtId="179" fontId="64" fillId="29" borderId="3" xfId="0" applyNumberFormat="1" applyFont="1" applyFill="1" applyBorder="1" applyAlignment="1">
      <alignment horizontal="center" vertical="center" wrapText="1"/>
    </xf>
    <xf numFmtId="179" fontId="64" fillId="0" borderId="0" xfId="0" applyNumberFormat="1" applyFont="1" applyFill="1" applyBorder="1" applyAlignment="1">
      <alignment vertical="center"/>
    </xf>
    <xf numFmtId="179" fontId="63" fillId="0" borderId="0" xfId="0" applyNumberFormat="1" applyFont="1" applyFill="1" applyBorder="1" applyAlignment="1">
      <alignment vertical="center"/>
    </xf>
    <xf numFmtId="180" fontId="63" fillId="0" borderId="0" xfId="0" applyNumberFormat="1" applyFont="1" applyFill="1" applyBorder="1" applyAlignment="1">
      <alignment vertical="center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2" fillId="0" borderId="3" xfId="0" applyFont="1" applyFill="1" applyBorder="1" applyAlignment="1">
      <alignment horizontal="left" vertical="center" wrapText="1"/>
    </xf>
    <xf numFmtId="179" fontId="62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 applyProtection="1">
      <alignment horizontal="left" vertical="center" wrapText="1"/>
      <protection locked="0"/>
    </xf>
    <xf numFmtId="0" fontId="67" fillId="0" borderId="3" xfId="0" applyFont="1" applyFill="1" applyBorder="1" applyAlignment="1">
      <alignment horizontal="center" vertical="center" wrapText="1"/>
    </xf>
    <xf numFmtId="179" fontId="67" fillId="0" borderId="3" xfId="0" applyNumberFormat="1" applyFont="1" applyFill="1" applyBorder="1" applyAlignment="1">
      <alignment horizontal="center" vertical="center" wrapText="1"/>
    </xf>
    <xf numFmtId="0" fontId="67" fillId="0" borderId="3" xfId="0" applyFont="1" applyFill="1" applyBorder="1" applyAlignment="1" applyProtection="1">
      <alignment horizontal="center" vertical="center" wrapText="1"/>
      <protection locked="0"/>
    </xf>
    <xf numFmtId="177" fontId="67" fillId="0" borderId="3" xfId="0" applyNumberFormat="1" applyFont="1" applyFill="1" applyBorder="1" applyAlignment="1">
      <alignment horizontal="center" vertical="center" wrapText="1"/>
    </xf>
    <xf numFmtId="0" fontId="67" fillId="0" borderId="3" xfId="182" applyFont="1" applyFill="1" applyBorder="1" applyAlignment="1">
      <alignment vertical="center" wrapText="1"/>
      <protection locked="0"/>
    </xf>
    <xf numFmtId="0" fontId="67" fillId="0" borderId="3" xfId="0" applyFont="1" applyFill="1" applyBorder="1" applyAlignment="1">
      <alignment horizontal="center" vertical="center"/>
    </xf>
    <xf numFmtId="0" fontId="62" fillId="0" borderId="3" xfId="182" applyFont="1" applyFill="1" applyBorder="1" applyAlignment="1">
      <alignment vertical="center" wrapText="1"/>
      <protection locked="0"/>
    </xf>
    <xf numFmtId="177" fontId="62" fillId="0" borderId="3" xfId="0" applyNumberFormat="1" applyFont="1" applyFill="1" applyBorder="1" applyAlignment="1">
      <alignment horizontal="center" vertical="center" wrapText="1"/>
    </xf>
    <xf numFmtId="0" fontId="66" fillId="0" borderId="3" xfId="0" applyFont="1" applyFill="1" applyBorder="1" applyAlignment="1">
      <alignment horizontal="left" vertical="center" wrapText="1"/>
    </xf>
    <xf numFmtId="0" fontId="66" fillId="0" borderId="3" xfId="0" applyFont="1" applyFill="1" applyBorder="1" applyAlignment="1">
      <alignment horizontal="center" vertical="center"/>
    </xf>
    <xf numFmtId="177" fontId="66" fillId="0" borderId="3" xfId="0" applyNumberFormat="1" applyFont="1" applyFill="1" applyBorder="1" applyAlignment="1">
      <alignment horizontal="center" vertical="center" wrapText="1"/>
    </xf>
    <xf numFmtId="0" fontId="67" fillId="0" borderId="17" xfId="0" applyFont="1" applyFill="1" applyBorder="1" applyAlignment="1" applyProtection="1">
      <alignment horizontal="left" vertical="center" wrapText="1"/>
      <protection locked="0"/>
    </xf>
    <xf numFmtId="0" fontId="67" fillId="0" borderId="17" xfId="0" applyFont="1" applyFill="1" applyBorder="1" applyAlignment="1">
      <alignment horizontal="center" vertical="center" wrapText="1"/>
    </xf>
    <xf numFmtId="0" fontId="67" fillId="0" borderId="17" xfId="0" applyFont="1" applyFill="1" applyBorder="1" applyAlignment="1" applyProtection="1">
      <alignment horizontal="center" vertical="center" wrapText="1"/>
      <protection locked="0"/>
    </xf>
    <xf numFmtId="0" fontId="62" fillId="0" borderId="17" xfId="0" applyFont="1" applyFill="1" applyBorder="1" applyAlignment="1">
      <alignment horizontal="center" vertical="center" wrapText="1"/>
    </xf>
    <xf numFmtId="0" fontId="62" fillId="0" borderId="17" xfId="0" applyFont="1" applyFill="1" applyBorder="1" applyAlignment="1" applyProtection="1">
      <alignment horizontal="left" vertical="center" wrapText="1"/>
      <protection locked="0"/>
    </xf>
    <xf numFmtId="0" fontId="66" fillId="0" borderId="17" xfId="0" applyFont="1" applyFill="1" applyBorder="1" applyAlignment="1">
      <alignment horizontal="center" vertical="center" wrapText="1"/>
    </xf>
    <xf numFmtId="0" fontId="62" fillId="0" borderId="18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left" vertical="center" wrapText="1"/>
    </xf>
    <xf numFmtId="0" fontId="67" fillId="0" borderId="18" xfId="0" applyFont="1" applyFill="1" applyBorder="1" applyAlignment="1">
      <alignment horizontal="left" vertical="center" wrapText="1"/>
    </xf>
    <xf numFmtId="0" fontId="67" fillId="0" borderId="20" xfId="182" applyFont="1" applyFill="1" applyBorder="1" applyAlignment="1">
      <alignment vertical="center" wrapText="1"/>
      <protection locked="0"/>
    </xf>
    <xf numFmtId="0" fontId="62" fillId="0" borderId="21" xfId="0" applyFont="1" applyFill="1" applyBorder="1" applyAlignment="1">
      <alignment horizontal="left" vertical="center" wrapText="1"/>
    </xf>
    <xf numFmtId="0" fontId="62" fillId="0" borderId="20" xfId="0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horizontal="center" vertical="center" wrapText="1"/>
    </xf>
    <xf numFmtId="0" fontId="97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horizontal="center" vertical="center"/>
    </xf>
    <xf numFmtId="0" fontId="78" fillId="0" borderId="13" xfId="0" applyFont="1" applyFill="1" applyBorder="1" applyAlignment="1">
      <alignment horizontal="center" wrapText="1"/>
    </xf>
    <xf numFmtId="0" fontId="78" fillId="0" borderId="0" xfId="0" quotePrefix="1" applyFont="1" applyFill="1" applyBorder="1" applyAlignment="1">
      <alignment horizontal="center"/>
    </xf>
    <xf numFmtId="0" fontId="71" fillId="0" borderId="0" xfId="0" applyFont="1" applyFill="1" applyBorder="1" applyAlignment="1">
      <alignment horizontal="center" vertical="center"/>
    </xf>
    <xf numFmtId="0" fontId="81" fillId="22" borderId="3" xfId="0" applyFont="1" applyFill="1" applyBorder="1" applyAlignment="1">
      <alignment horizontal="center" vertical="center" wrapText="1" shrinkToFit="1"/>
    </xf>
    <xf numFmtId="0" fontId="71" fillId="22" borderId="17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71" fillId="22" borderId="17" xfId="0" applyFont="1" applyFill="1" applyBorder="1" applyAlignment="1">
      <alignment horizontal="center" vertical="center"/>
    </xf>
    <xf numFmtId="0" fontId="71" fillId="22" borderId="17" xfId="0" applyFont="1" applyFill="1" applyBorder="1" applyAlignment="1">
      <alignment horizontal="center" vertical="center" wrapText="1" shrinkToFit="1"/>
    </xf>
    <xf numFmtId="0" fontId="71" fillId="22" borderId="16" xfId="0" applyFont="1" applyFill="1" applyBorder="1" applyAlignment="1">
      <alignment horizontal="center" vertical="center" wrapText="1"/>
    </xf>
    <xf numFmtId="0" fontId="71" fillId="22" borderId="3" xfId="0" applyFont="1" applyFill="1" applyBorder="1" applyAlignment="1">
      <alignment horizontal="center" vertical="center"/>
    </xf>
    <xf numFmtId="0" fontId="71" fillId="0" borderId="3" xfId="0" applyFont="1" applyFill="1" applyBorder="1" applyAlignment="1">
      <alignment horizontal="center" vertical="center"/>
    </xf>
    <xf numFmtId="179" fontId="99" fillId="22" borderId="3" xfId="0" applyNumberFormat="1" applyFont="1" applyFill="1" applyBorder="1" applyAlignment="1">
      <alignment horizontal="center" vertical="center" wrapText="1"/>
    </xf>
    <xf numFmtId="179" fontId="99" fillId="22" borderId="3" xfId="0" applyNumberFormat="1" applyFont="1" applyFill="1" applyBorder="1" applyAlignment="1">
      <alignment vertical="center"/>
    </xf>
    <xf numFmtId="0" fontId="74" fillId="0" borderId="3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 wrapText="1"/>
    </xf>
    <xf numFmtId="179" fontId="100" fillId="22" borderId="3" xfId="0" applyNumberFormat="1" applyFont="1" applyFill="1" applyBorder="1" applyAlignment="1">
      <alignment horizontal="center" vertical="center" wrapText="1"/>
    </xf>
    <xf numFmtId="179" fontId="100" fillId="22" borderId="3" xfId="0" applyNumberFormat="1" applyFont="1" applyFill="1" applyBorder="1" applyAlignment="1">
      <alignment vertical="center"/>
    </xf>
    <xf numFmtId="179" fontId="101" fillId="22" borderId="3" xfId="0" applyNumberFormat="1" applyFont="1" applyFill="1" applyBorder="1" applyAlignment="1">
      <alignment horizontal="center" vertical="center" wrapText="1"/>
    </xf>
    <xf numFmtId="179" fontId="101" fillId="22" borderId="3" xfId="0" applyNumberFormat="1" applyFont="1" applyFill="1" applyBorder="1" applyAlignment="1">
      <alignment vertical="center"/>
    </xf>
    <xf numFmtId="0" fontId="79" fillId="0" borderId="3" xfId="0" quotePrefix="1" applyFont="1" applyFill="1" applyBorder="1" applyAlignment="1">
      <alignment horizontal="center" vertical="center"/>
    </xf>
    <xf numFmtId="0" fontId="68" fillId="0" borderId="3" xfId="0" quotePrefix="1" applyFont="1" applyFill="1" applyBorder="1" applyAlignment="1">
      <alignment horizontal="center" vertical="center"/>
    </xf>
    <xf numFmtId="0" fontId="74" fillId="22" borderId="17" xfId="0" applyFont="1" applyFill="1" applyBorder="1" applyAlignment="1" applyProtection="1">
      <alignment horizontal="left" vertical="center" wrapText="1"/>
      <protection locked="0"/>
    </xf>
    <xf numFmtId="0" fontId="68" fillId="22" borderId="17" xfId="0" applyFont="1" applyFill="1" applyBorder="1" applyAlignment="1" applyProtection="1">
      <alignment horizontal="left" vertical="center" wrapText="1"/>
      <protection locked="0"/>
    </xf>
    <xf numFmtId="0" fontId="69" fillId="22" borderId="17" xfId="0" applyFont="1" applyFill="1" applyBorder="1" applyAlignment="1" applyProtection="1">
      <alignment horizontal="left" vertical="center" wrapText="1"/>
      <protection locked="0"/>
    </xf>
    <xf numFmtId="0" fontId="69" fillId="22" borderId="3" xfId="0" quotePrefix="1" applyFont="1" applyFill="1" applyBorder="1" applyAlignment="1">
      <alignment horizontal="center" vertical="center"/>
    </xf>
    <xf numFmtId="179" fontId="80" fillId="22" borderId="3" xfId="0" applyNumberFormat="1" applyFont="1" applyFill="1" applyBorder="1" applyAlignment="1">
      <alignment vertical="center"/>
    </xf>
    <xf numFmtId="0" fontId="69" fillId="0" borderId="18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179" fontId="70" fillId="0" borderId="3" xfId="0" applyNumberFormat="1" applyFont="1" applyFill="1" applyBorder="1" applyAlignment="1">
      <alignment vertical="center"/>
    </xf>
    <xf numFmtId="0" fontId="102" fillId="0" borderId="0" xfId="0" applyFont="1"/>
    <xf numFmtId="0" fontId="74" fillId="0" borderId="3" xfId="0" quotePrefix="1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left" vertical="center" wrapText="1"/>
    </xf>
    <xf numFmtId="0" fontId="69" fillId="0" borderId="0" xfId="0" quotePrefix="1" applyFont="1" applyFill="1" applyBorder="1" applyAlignment="1">
      <alignment horizontal="center" vertical="center"/>
    </xf>
    <xf numFmtId="170" fontId="71" fillId="0" borderId="0" xfId="0" applyNumberFormat="1" applyFont="1" applyFill="1" applyBorder="1" applyAlignment="1">
      <alignment horizontal="right" vertical="center" wrapText="1"/>
    </xf>
    <xf numFmtId="179" fontId="99" fillId="22" borderId="0" xfId="0" applyNumberFormat="1" applyFont="1" applyFill="1" applyBorder="1" applyAlignment="1">
      <alignment horizontal="center" vertical="center" wrapText="1"/>
    </xf>
    <xf numFmtId="179" fontId="99" fillId="22" borderId="0" xfId="0" applyNumberFormat="1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 wrapText="1"/>
    </xf>
    <xf numFmtId="0" fontId="103" fillId="0" borderId="0" xfId="0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/>
    </xf>
    <xf numFmtId="0" fontId="77" fillId="0" borderId="15" xfId="0" applyFont="1" applyFill="1" applyBorder="1" applyAlignment="1">
      <alignment horizontal="left" vertical="center" wrapText="1"/>
    </xf>
    <xf numFmtId="0" fontId="81" fillId="0" borderId="3" xfId="0" applyFont="1" applyFill="1" applyBorder="1" applyAlignment="1">
      <alignment wrapText="1"/>
    </xf>
    <xf numFmtId="0" fontId="81" fillId="0" borderId="17" xfId="0" applyFont="1" applyFill="1" applyBorder="1" applyAlignment="1">
      <alignment wrapText="1"/>
    </xf>
    <xf numFmtId="0" fontId="77" fillId="0" borderId="3" xfId="0" applyFont="1" applyFill="1" applyBorder="1" applyAlignment="1">
      <alignment wrapText="1"/>
    </xf>
    <xf numFmtId="0" fontId="77" fillId="0" borderId="15" xfId="0" applyFont="1" applyFill="1" applyBorder="1"/>
    <xf numFmtId="0" fontId="77" fillId="0" borderId="3" xfId="0" applyFont="1" applyFill="1" applyBorder="1" applyAlignment="1">
      <alignment horizontal="left" vertical="center" wrapText="1"/>
    </xf>
    <xf numFmtId="0" fontId="77" fillId="0" borderId="3" xfId="353" applyNumberFormat="1" applyFont="1" applyBorder="1" applyAlignment="1">
      <alignment vertical="top" wrapText="1"/>
    </xf>
    <xf numFmtId="0" fontId="70" fillId="29" borderId="0" xfId="0" applyFont="1" applyFill="1" applyBorder="1" applyAlignment="1">
      <alignment horizontal="center" vertical="center" wrapText="1"/>
    </xf>
    <xf numFmtId="0" fontId="71" fillId="29" borderId="17" xfId="0" applyFont="1" applyFill="1" applyBorder="1" applyAlignment="1">
      <alignment horizontal="center" vertical="center" wrapText="1"/>
    </xf>
    <xf numFmtId="0" fontId="71" fillId="29" borderId="3" xfId="0" applyFont="1" applyFill="1" applyBorder="1" applyAlignment="1">
      <alignment horizontal="center" vertical="center" wrapText="1"/>
    </xf>
    <xf numFmtId="179" fontId="99" fillId="29" borderId="3" xfId="0" applyNumberFormat="1" applyFont="1" applyFill="1" applyBorder="1" applyAlignment="1">
      <alignment horizontal="center" vertical="center" wrapText="1"/>
    </xf>
    <xf numFmtId="179" fontId="100" fillId="29" borderId="3" xfId="0" applyNumberFormat="1" applyFont="1" applyFill="1" applyBorder="1" applyAlignment="1">
      <alignment horizontal="center" vertical="center" wrapText="1"/>
    </xf>
    <xf numFmtId="179" fontId="68" fillId="29" borderId="3" xfId="0" quotePrefix="1" applyNumberFormat="1" applyFont="1" applyFill="1" applyBorder="1" applyAlignment="1">
      <alignment horizontal="center" vertical="center"/>
    </xf>
    <xf numFmtId="170" fontId="71" fillId="29" borderId="3" xfId="0" applyNumberFormat="1" applyFont="1" applyFill="1" applyBorder="1" applyAlignment="1">
      <alignment horizontal="right" vertical="center" wrapText="1"/>
    </xf>
    <xf numFmtId="170" fontId="71" fillId="29" borderId="0" xfId="0" applyNumberFormat="1" applyFont="1" applyFill="1" applyBorder="1" applyAlignment="1">
      <alignment horizontal="right" vertical="center" wrapText="1"/>
    </xf>
    <xf numFmtId="0" fontId="0" fillId="29" borderId="0" xfId="0" applyFill="1"/>
    <xf numFmtId="0" fontId="77" fillId="22" borderId="3" xfId="0" applyFont="1" applyFill="1" applyBorder="1" applyAlignment="1">
      <alignment horizontal="left" vertical="center" wrapText="1"/>
    </xf>
    <xf numFmtId="0" fontId="71" fillId="29" borderId="3" xfId="0" applyFont="1" applyFill="1" applyBorder="1" applyAlignment="1">
      <alignment horizontal="left" vertical="center" wrapText="1"/>
    </xf>
    <xf numFmtId="0" fontId="69" fillId="29" borderId="17" xfId="0" applyFont="1" applyFill="1" applyBorder="1" applyAlignment="1">
      <alignment vertical="center" wrapText="1"/>
    </xf>
    <xf numFmtId="0" fontId="69" fillId="29" borderId="3" xfId="0" applyFont="1" applyFill="1" applyBorder="1" applyAlignment="1">
      <alignment vertical="center"/>
    </xf>
    <xf numFmtId="0" fontId="69" fillId="29" borderId="15" xfId="0" applyFont="1" applyFill="1" applyBorder="1" applyAlignment="1">
      <alignment vertical="center"/>
    </xf>
    <xf numFmtId="0" fontId="69" fillId="29" borderId="15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left" vertical="center" wrapText="1"/>
    </xf>
    <xf numFmtId="0" fontId="69" fillId="29" borderId="3" xfId="353" applyNumberFormat="1" applyFont="1" applyFill="1" applyBorder="1" applyAlignment="1">
      <alignment vertical="center" wrapText="1"/>
    </xf>
    <xf numFmtId="0" fontId="69" fillId="29" borderId="3" xfId="353" applyNumberFormat="1" applyFont="1" applyFill="1" applyBorder="1" applyAlignment="1">
      <alignment vertical="top" wrapText="1"/>
    </xf>
    <xf numFmtId="179" fontId="69" fillId="0" borderId="0" xfId="0" applyNumberFormat="1" applyFont="1" applyFill="1" applyBorder="1" applyAlignment="1">
      <alignment horizontal="center" vertical="center" wrapText="1"/>
    </xf>
    <xf numFmtId="180" fontId="62" fillId="0" borderId="0" xfId="0" applyNumberFormat="1" applyFont="1" applyFill="1" applyAlignment="1">
      <alignment vertical="center"/>
    </xf>
    <xf numFmtId="179" fontId="106" fillId="29" borderId="3" xfId="0" applyNumberFormat="1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left" vertical="center"/>
    </xf>
    <xf numFmtId="0" fontId="77" fillId="0" borderId="15" xfId="0" applyFont="1" applyFill="1" applyBorder="1" applyAlignment="1">
      <alignment horizontal="left" vertical="center" wrapText="1"/>
    </xf>
    <xf numFmtId="170" fontId="70" fillId="29" borderId="3" xfId="0" applyNumberFormat="1" applyFont="1" applyFill="1" applyBorder="1" applyAlignment="1">
      <alignment horizontal="right" vertical="center" wrapText="1"/>
    </xf>
    <xf numFmtId="179" fontId="107" fillId="29" borderId="3" xfId="0" applyNumberFormat="1" applyFont="1" applyFill="1" applyBorder="1" applyAlignment="1">
      <alignment horizontal="center" vertical="center" wrapText="1"/>
    </xf>
    <xf numFmtId="180" fontId="62" fillId="30" borderId="0" xfId="0" applyNumberFormat="1" applyFont="1" applyFill="1" applyBorder="1" applyAlignment="1">
      <alignment vertical="center"/>
    </xf>
    <xf numFmtId="180" fontId="62" fillId="0" borderId="0" xfId="0" applyNumberFormat="1" applyFont="1" applyFill="1" applyBorder="1" applyAlignment="1">
      <alignment vertical="center"/>
    </xf>
    <xf numFmtId="0" fontId="81" fillId="29" borderId="3" xfId="0" applyFont="1" applyFill="1" applyBorder="1" applyAlignment="1">
      <alignment horizontal="center" vertical="center" wrapText="1" shrinkToFit="1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67" fillId="29" borderId="17" xfId="0" applyNumberFormat="1" applyFont="1" applyFill="1" applyBorder="1" applyAlignment="1">
      <alignment horizontal="center" vertical="center" wrapText="1"/>
    </xf>
    <xf numFmtId="177" fontId="62" fillId="29" borderId="17" xfId="0" applyNumberFormat="1" applyFont="1" applyFill="1" applyBorder="1" applyAlignment="1">
      <alignment horizontal="center" vertical="center" wrapText="1"/>
    </xf>
    <xf numFmtId="177" fontId="66" fillId="29" borderId="17" xfId="0" applyNumberFormat="1" applyFont="1" applyFill="1" applyBorder="1" applyAlignment="1">
      <alignment horizontal="center" vertical="center" wrapText="1"/>
    </xf>
    <xf numFmtId="178" fontId="67" fillId="29" borderId="3" xfId="0" applyNumberFormat="1" applyFont="1" applyFill="1" applyBorder="1" applyAlignment="1">
      <alignment horizontal="center" vertical="center" wrapText="1"/>
    </xf>
    <xf numFmtId="173" fontId="62" fillId="29" borderId="3" xfId="0" applyNumberFormat="1" applyFont="1" applyFill="1" applyBorder="1" applyAlignment="1">
      <alignment horizontal="center" vertical="center" wrapText="1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vertical="center"/>
    </xf>
    <xf numFmtId="179" fontId="68" fillId="31" borderId="3" xfId="0" applyNumberFormat="1" applyFont="1" applyFill="1" applyBorder="1" applyAlignment="1">
      <alignment horizontal="center" vertical="center" wrapText="1"/>
    </xf>
    <xf numFmtId="0" fontId="82" fillId="31" borderId="3" xfId="0" applyFont="1" applyFill="1" applyBorder="1" applyAlignment="1">
      <alignment horizontal="left" vertical="center"/>
    </xf>
    <xf numFmtId="179" fontId="95" fillId="31" borderId="3" xfId="0" applyNumberFormat="1" applyFont="1" applyFill="1" applyBorder="1" applyAlignment="1">
      <alignment horizontal="center" vertical="center" wrapText="1"/>
    </xf>
    <xf numFmtId="180" fontId="64" fillId="0" borderId="0" xfId="0" applyNumberFormat="1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177" fontId="109" fillId="0" borderId="3" xfId="0" applyNumberFormat="1" applyFont="1" applyFill="1" applyBorder="1" applyAlignment="1">
      <alignment horizontal="center" vertical="center" wrapText="1"/>
    </xf>
    <xf numFmtId="177" fontId="96" fillId="0" borderId="3" xfId="0" applyNumberFormat="1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center" wrapText="1"/>
    </xf>
    <xf numFmtId="179" fontId="110" fillId="22" borderId="3" xfId="0" applyNumberFormat="1" applyFont="1" applyFill="1" applyBorder="1" applyAlignment="1">
      <alignment vertical="center"/>
    </xf>
    <xf numFmtId="179" fontId="111" fillId="29" borderId="3" xfId="0" applyNumberFormat="1" applyFont="1" applyFill="1" applyBorder="1" applyAlignment="1">
      <alignment vertical="center"/>
    </xf>
    <xf numFmtId="179" fontId="111" fillId="22" borderId="3" xfId="0" applyNumberFormat="1" applyFont="1" applyFill="1" applyBorder="1" applyAlignment="1">
      <alignment vertical="center"/>
    </xf>
    <xf numFmtId="179" fontId="69" fillId="31" borderId="3" xfId="0" applyNumberFormat="1" applyFont="1" applyFill="1" applyBorder="1" applyAlignment="1">
      <alignment horizontal="center" vertical="center" wrapText="1"/>
    </xf>
    <xf numFmtId="179" fontId="71" fillId="31" borderId="3" xfId="0" applyNumberFormat="1" applyFont="1" applyFill="1" applyBorder="1" applyAlignment="1">
      <alignment horizontal="center" vertical="center" wrapText="1"/>
    </xf>
    <xf numFmtId="179" fontId="70" fillId="31" borderId="3" xfId="0" applyNumberFormat="1" applyFont="1" applyFill="1" applyBorder="1" applyAlignment="1">
      <alignment horizontal="center" vertical="center" wrapText="1"/>
    </xf>
    <xf numFmtId="179" fontId="64" fillId="31" borderId="3" xfId="0" applyNumberFormat="1" applyFont="1" applyFill="1" applyBorder="1" applyAlignment="1">
      <alignment horizontal="center" vertical="center" wrapText="1"/>
    </xf>
    <xf numFmtId="169" fontId="64" fillId="31" borderId="3" xfId="0" applyNumberFormat="1" applyFont="1" applyFill="1" applyBorder="1" applyAlignment="1">
      <alignment horizontal="right" vertical="center"/>
    </xf>
    <xf numFmtId="0" fontId="71" fillId="31" borderId="3" xfId="0" applyFont="1" applyFill="1" applyBorder="1" applyAlignment="1">
      <alignment horizontal="center" vertical="center" wrapText="1"/>
    </xf>
    <xf numFmtId="0" fontId="6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horizontal="left" vertical="center" wrapText="1"/>
    </xf>
    <xf numFmtId="0" fontId="68" fillId="29" borderId="3" xfId="0" applyFont="1" applyFill="1" applyBorder="1" applyAlignment="1">
      <alignment horizontal="center" vertical="center" wrapText="1"/>
    </xf>
    <xf numFmtId="49" fontId="79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/>
    </xf>
    <xf numFmtId="49" fontId="68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vertical="center" wrapText="1"/>
    </xf>
    <xf numFmtId="49" fontId="69" fillId="29" borderId="3" xfId="0" applyNumberFormat="1" applyFont="1" applyFill="1" applyBorder="1" applyAlignment="1">
      <alignment horizontal="center" vertical="center"/>
    </xf>
    <xf numFmtId="0" fontId="69" fillId="31" borderId="3" xfId="0" applyFont="1" applyFill="1" applyBorder="1" applyAlignment="1">
      <alignment horizontal="center" vertical="center" wrapText="1"/>
    </xf>
    <xf numFmtId="0" fontId="69" fillId="29" borderId="0" xfId="0" applyFont="1" applyFill="1" applyBorder="1" applyAlignment="1">
      <alignment vertical="center"/>
    </xf>
    <xf numFmtId="0" fontId="63" fillId="29" borderId="0" xfId="0" applyFont="1" applyFill="1" applyBorder="1" applyAlignment="1">
      <alignment vertical="center"/>
    </xf>
    <xf numFmtId="0" fontId="64" fillId="29" borderId="0" xfId="0" applyFont="1" applyFill="1" applyBorder="1" applyAlignment="1">
      <alignment vertical="center"/>
    </xf>
    <xf numFmtId="179" fontId="108" fillId="29" borderId="3" xfId="0" applyNumberFormat="1" applyFont="1" applyFill="1" applyBorder="1" applyAlignment="1">
      <alignment horizontal="center" vertical="center" wrapText="1"/>
    </xf>
    <xf numFmtId="179" fontId="111" fillId="29" borderId="3" xfId="0" applyNumberFormat="1" applyFont="1" applyFill="1" applyBorder="1" applyAlignment="1">
      <alignment horizontal="center" vertical="center" wrapText="1"/>
    </xf>
    <xf numFmtId="0" fontId="68" fillId="29" borderId="3" xfId="0" applyFont="1" applyFill="1" applyBorder="1" applyAlignment="1">
      <alignment vertical="center"/>
    </xf>
    <xf numFmtId="0" fontId="91" fillId="22" borderId="0" xfId="0" applyFont="1" applyFill="1" applyBorder="1" applyAlignment="1">
      <alignment horizontal="center" wrapText="1"/>
    </xf>
    <xf numFmtId="179" fontId="71" fillId="29" borderId="0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/>
    </xf>
    <xf numFmtId="0" fontId="77" fillId="22" borderId="15" xfId="0" applyFont="1" applyFill="1" applyBorder="1" applyAlignment="1">
      <alignment vertical="center" wrapText="1"/>
    </xf>
    <xf numFmtId="0" fontId="76" fillId="22" borderId="15" xfId="0" applyFont="1" applyFill="1" applyBorder="1" applyAlignment="1">
      <alignment vertical="center" wrapText="1"/>
    </xf>
    <xf numFmtId="0" fontId="77" fillId="22" borderId="25" xfId="0" applyFont="1" applyFill="1" applyBorder="1" applyAlignment="1">
      <alignment vertical="center" wrapText="1"/>
    </xf>
    <xf numFmtId="0" fontId="77" fillId="22" borderId="24" xfId="0" applyFont="1" applyFill="1" applyBorder="1" applyAlignment="1">
      <alignment vertical="center" wrapText="1"/>
    </xf>
    <xf numFmtId="0" fontId="77" fillId="22" borderId="27" xfId="0" applyFont="1" applyFill="1" applyBorder="1" applyAlignment="1">
      <alignment vertical="center" wrapText="1"/>
    </xf>
    <xf numFmtId="0" fontId="77" fillId="0" borderId="15" xfId="0" applyFont="1" applyFill="1" applyBorder="1" applyAlignment="1">
      <alignment vertical="center" wrapText="1"/>
    </xf>
    <xf numFmtId="0" fontId="88" fillId="22" borderId="0" xfId="0" applyFont="1" applyFill="1" applyBorder="1" applyAlignment="1">
      <alignment vertical="center"/>
    </xf>
    <xf numFmtId="49" fontId="71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0" fontId="81" fillId="29" borderId="3" xfId="0" applyFont="1" applyFill="1" applyBorder="1" applyAlignment="1">
      <alignment horizontal="center" vertical="center" wrapText="1"/>
    </xf>
    <xf numFmtId="0" fontId="71" fillId="29" borderId="0" xfId="0" applyFont="1" applyFill="1" applyBorder="1" applyAlignment="1">
      <alignment horizontal="center" vertical="center"/>
    </xf>
    <xf numFmtId="169" fontId="68" fillId="29" borderId="3" xfId="0" applyNumberFormat="1" applyFont="1" applyFill="1" applyBorder="1" applyAlignment="1">
      <alignment horizontal="right" vertical="center" wrapText="1"/>
    </xf>
    <xf numFmtId="169" fontId="71" fillId="29" borderId="3" xfId="0" applyNumberFormat="1" applyFont="1" applyFill="1" applyBorder="1" applyAlignment="1">
      <alignment horizontal="right" vertical="center" wrapText="1"/>
    </xf>
    <xf numFmtId="169" fontId="0" fillId="29" borderId="3" xfId="0" applyNumberFormat="1" applyFill="1" applyBorder="1" applyAlignment="1">
      <alignment horizontal="right"/>
    </xf>
    <xf numFmtId="169" fontId="105" fillId="29" borderId="3" xfId="0" applyNumberFormat="1" applyFont="1" applyFill="1" applyBorder="1" applyAlignment="1">
      <alignment horizontal="right"/>
    </xf>
    <xf numFmtId="179" fontId="74" fillId="29" borderId="0" xfId="0" applyNumberFormat="1" applyFont="1" applyFill="1" applyBorder="1" applyAlignment="1">
      <alignment horizontal="center" vertical="center" wrapText="1"/>
    </xf>
    <xf numFmtId="179" fontId="69" fillId="29" borderId="0" xfId="0" applyNumberFormat="1" applyFont="1" applyFill="1" applyBorder="1" applyAlignment="1">
      <alignment horizontal="center" vertical="center" wrapText="1"/>
    </xf>
    <xf numFmtId="170" fontId="71" fillId="29" borderId="0" xfId="0" applyNumberFormat="1" applyFont="1" applyFill="1" applyBorder="1" applyAlignment="1">
      <alignment horizontal="center" vertical="center" wrapText="1"/>
    </xf>
    <xf numFmtId="170" fontId="71" fillId="29" borderId="13" xfId="0" applyNumberFormat="1" applyFont="1" applyFill="1" applyBorder="1" applyAlignment="1">
      <alignment horizontal="center" vertical="center" wrapText="1"/>
    </xf>
    <xf numFmtId="170" fontId="71" fillId="29" borderId="13" xfId="0" applyNumberFormat="1" applyFont="1" applyFill="1" applyBorder="1" applyAlignment="1">
      <alignment horizontal="right" vertical="center" wrapText="1"/>
    </xf>
    <xf numFmtId="0" fontId="64" fillId="29" borderId="3" xfId="0" applyFont="1" applyFill="1" applyBorder="1" applyAlignment="1">
      <alignment horizontal="center" vertical="center"/>
    </xf>
    <xf numFmtId="177" fontId="76" fillId="29" borderId="3" xfId="0" applyNumberFormat="1" applyFont="1" applyFill="1" applyBorder="1" applyAlignment="1">
      <alignment horizontal="center" vertical="center" wrapText="1"/>
    </xf>
    <xf numFmtId="180" fontId="68" fillId="29" borderId="3" xfId="0" applyNumberFormat="1" applyFont="1" applyFill="1" applyBorder="1" applyAlignment="1">
      <alignment horizontal="center" vertical="center" wrapText="1"/>
    </xf>
    <xf numFmtId="179" fontId="63" fillId="29" borderId="3" xfId="0" applyNumberFormat="1" applyFont="1" applyFill="1" applyBorder="1" applyAlignment="1">
      <alignment horizontal="center" vertical="center" wrapText="1"/>
    </xf>
    <xf numFmtId="169" fontId="85" fillId="29" borderId="3" xfId="0" applyNumberFormat="1" applyFont="1" applyFill="1" applyBorder="1" applyAlignment="1">
      <alignment horizontal="right" vertical="center"/>
    </xf>
    <xf numFmtId="169" fontId="64" fillId="29" borderId="3" xfId="0" applyNumberFormat="1" applyFont="1" applyFill="1" applyBorder="1" applyAlignment="1">
      <alignment horizontal="right" vertical="center"/>
    </xf>
    <xf numFmtId="169" fontId="63" fillId="29" borderId="3" xfId="0" applyNumberFormat="1" applyFont="1" applyFill="1" applyBorder="1" applyAlignment="1">
      <alignment horizontal="right" vertical="center"/>
    </xf>
    <xf numFmtId="179" fontId="64" fillId="29" borderId="0" xfId="0" applyNumberFormat="1" applyFont="1" applyFill="1" applyBorder="1" applyAlignment="1">
      <alignment horizontal="center" vertical="center" wrapText="1"/>
    </xf>
    <xf numFmtId="179" fontId="70" fillId="29" borderId="0" xfId="0" applyNumberFormat="1" applyFont="1" applyFill="1" applyBorder="1" applyAlignment="1">
      <alignment horizontal="center" vertical="center" wrapText="1"/>
    </xf>
    <xf numFmtId="170" fontId="69" fillId="29" borderId="0" xfId="0" applyNumberFormat="1" applyFont="1" applyFill="1" applyBorder="1" applyAlignment="1">
      <alignment horizontal="center" vertical="center" wrapText="1"/>
    </xf>
    <xf numFmtId="170" fontId="64" fillId="29" borderId="0" xfId="0" applyNumberFormat="1" applyFont="1" applyFill="1" applyBorder="1" applyAlignment="1">
      <alignment horizontal="right" vertical="center" wrapText="1"/>
    </xf>
    <xf numFmtId="49" fontId="70" fillId="31" borderId="3" xfId="0" applyNumberFormat="1" applyFont="1" applyFill="1" applyBorder="1" applyAlignment="1">
      <alignment horizontal="center" vertical="center"/>
    </xf>
    <xf numFmtId="0" fontId="70" fillId="31" borderId="3" xfId="0" applyFont="1" applyFill="1" applyBorder="1" applyAlignment="1">
      <alignment horizontal="center" vertical="center" wrapText="1"/>
    </xf>
    <xf numFmtId="49" fontId="70" fillId="29" borderId="3" xfId="0" applyNumberFormat="1" applyFont="1" applyFill="1" applyBorder="1" applyAlignment="1">
      <alignment horizontal="center" vertical="center"/>
    </xf>
    <xf numFmtId="170" fontId="87" fillId="29" borderId="0" xfId="0" applyNumberFormat="1" applyFont="1" applyFill="1" applyBorder="1" applyAlignment="1">
      <alignment vertical="center"/>
    </xf>
    <xf numFmtId="180" fontId="0" fillId="0" borderId="0" xfId="0" applyNumberFormat="1"/>
    <xf numFmtId="0" fontId="62" fillId="29" borderId="0" xfId="0" applyFont="1" applyFill="1" applyAlignment="1">
      <alignment horizontal="center" vertical="center"/>
    </xf>
    <xf numFmtId="177" fontId="78" fillId="29" borderId="3" xfId="0" applyNumberFormat="1" applyFont="1" applyFill="1" applyBorder="1" applyAlignment="1">
      <alignment horizontal="center" vertical="center" wrapText="1"/>
    </xf>
    <xf numFmtId="177" fontId="81" fillId="29" borderId="3" xfId="0" applyNumberFormat="1" applyFont="1" applyFill="1" applyBorder="1" applyAlignment="1">
      <alignment horizontal="center" vertical="center" wrapText="1"/>
    </xf>
    <xf numFmtId="177" fontId="77" fillId="29" borderId="3" xfId="0" applyNumberFormat="1" applyFont="1" applyFill="1" applyBorder="1" applyAlignment="1">
      <alignment horizontal="center" vertical="center" wrapText="1"/>
    </xf>
    <xf numFmtId="177" fontId="92" fillId="29" borderId="3" xfId="0" applyNumberFormat="1" applyFont="1" applyFill="1" applyBorder="1" applyAlignment="1">
      <alignment horizontal="center" vertical="center" wrapText="1"/>
    </xf>
    <xf numFmtId="177" fontId="76" fillId="29" borderId="17" xfId="0" applyNumberFormat="1" applyFont="1" applyFill="1" applyBorder="1" applyAlignment="1">
      <alignment horizontal="center" vertical="center" wrapText="1"/>
    </xf>
    <xf numFmtId="177" fontId="77" fillId="29" borderId="17" xfId="0" applyNumberFormat="1" applyFont="1" applyFill="1" applyBorder="1" applyAlignment="1">
      <alignment horizontal="center" vertical="center" wrapText="1"/>
    </xf>
    <xf numFmtId="177" fontId="92" fillId="29" borderId="17" xfId="0" applyNumberFormat="1" applyFont="1" applyFill="1" applyBorder="1" applyAlignment="1">
      <alignment horizontal="center" vertical="center" wrapText="1"/>
    </xf>
    <xf numFmtId="178" fontId="76" fillId="29" borderId="3" xfId="0" applyNumberFormat="1" applyFont="1" applyFill="1" applyBorder="1" applyAlignment="1">
      <alignment horizontal="center" vertical="center" wrapText="1"/>
    </xf>
    <xf numFmtId="178" fontId="77" fillId="29" borderId="3" xfId="0" applyNumberFormat="1" applyFont="1" applyFill="1" applyBorder="1" applyAlignment="1">
      <alignment horizontal="center" vertical="center" wrapText="1"/>
    </xf>
    <xf numFmtId="170" fontId="67" fillId="29" borderId="0" xfId="0" applyNumberFormat="1" applyFont="1" applyFill="1" applyBorder="1" applyAlignment="1">
      <alignment horizontal="center" vertical="center" wrapText="1"/>
    </xf>
    <xf numFmtId="170" fontId="84" fillId="29" borderId="0" xfId="0" applyNumberFormat="1" applyFont="1" applyFill="1" applyBorder="1" applyAlignment="1"/>
    <xf numFmtId="0" fontId="81" fillId="29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/>
    </xf>
    <xf numFmtId="0" fontId="74" fillId="29" borderId="3" xfId="0" applyFont="1" applyFill="1" applyBorder="1" applyAlignment="1">
      <alignment horizontal="left" vertical="center"/>
    </xf>
    <xf numFmtId="0" fontId="73" fillId="0" borderId="3" xfId="0" applyFont="1" applyFill="1" applyBorder="1" applyAlignment="1">
      <alignment horizontal="left" vertical="center"/>
    </xf>
    <xf numFmtId="0" fontId="82" fillId="29" borderId="3" xfId="0" applyFont="1" applyFill="1" applyBorder="1" applyAlignment="1">
      <alignment horizontal="left" vertical="center"/>
    </xf>
    <xf numFmtId="0" fontId="73" fillId="29" borderId="3" xfId="0" applyFont="1" applyFill="1" applyBorder="1" applyAlignment="1">
      <alignment horizontal="left" vertical="center" wrapText="1"/>
    </xf>
    <xf numFmtId="0" fontId="74" fillId="29" borderId="3" xfId="0" applyFont="1" applyFill="1" applyBorder="1" applyAlignment="1">
      <alignment horizontal="left" vertical="center" wrapText="1"/>
    </xf>
    <xf numFmtId="0" fontId="68" fillId="22" borderId="3" xfId="0" applyFont="1" applyFill="1" applyBorder="1" applyAlignment="1">
      <alignment horizontal="left" vertical="center" wrapText="1"/>
    </xf>
    <xf numFmtId="0" fontId="68" fillId="0" borderId="3" xfId="0" applyFont="1" applyFill="1" applyBorder="1" applyAlignment="1">
      <alignment horizontal="center" vertical="center"/>
    </xf>
    <xf numFmtId="0" fontId="71" fillId="0" borderId="0" xfId="0" applyFont="1" applyFill="1" applyBorder="1" applyAlignment="1">
      <alignment horizontal="center" vertical="center"/>
    </xf>
    <xf numFmtId="0" fontId="64" fillId="0" borderId="0" xfId="0" applyNumberFormat="1" applyFont="1" applyFill="1" applyBorder="1" applyAlignment="1">
      <alignment vertical="center"/>
    </xf>
    <xf numFmtId="179" fontId="63" fillId="31" borderId="3" xfId="0" applyNumberFormat="1" applyFont="1" applyFill="1" applyBorder="1" applyAlignment="1">
      <alignment horizontal="center" vertical="center" wrapText="1"/>
    </xf>
    <xf numFmtId="179" fontId="68" fillId="31" borderId="0" xfId="0" applyNumberFormat="1" applyFont="1" applyFill="1" applyBorder="1" applyAlignment="1">
      <alignment horizontal="center" vertical="center" wrapText="1"/>
    </xf>
    <xf numFmtId="0" fontId="73" fillId="29" borderId="3" xfId="0" applyFont="1" applyFill="1" applyBorder="1" applyAlignment="1">
      <alignment horizontal="left" vertical="center"/>
    </xf>
    <xf numFmtId="0" fontId="68" fillId="31" borderId="3" xfId="0" applyFont="1" applyFill="1" applyBorder="1" applyAlignment="1">
      <alignment horizontal="center" vertical="center" wrapText="1"/>
    </xf>
    <xf numFmtId="0" fontId="68" fillId="31" borderId="3" xfId="0" applyFont="1" applyFill="1" applyBorder="1" applyAlignment="1">
      <alignment vertical="center" wrapText="1"/>
    </xf>
    <xf numFmtId="177" fontId="68" fillId="31" borderId="3" xfId="0" applyNumberFormat="1" applyFont="1" applyFill="1" applyBorder="1" applyAlignment="1">
      <alignment horizontal="center" vertical="center" wrapText="1"/>
    </xf>
    <xf numFmtId="0" fontId="68" fillId="31" borderId="3" xfId="0" applyFont="1" applyFill="1" applyBorder="1" applyAlignment="1">
      <alignment horizontal="center" vertical="center"/>
    </xf>
    <xf numFmtId="0" fontId="68" fillId="31" borderId="3" xfId="0" applyFont="1" applyFill="1" applyBorder="1" applyAlignment="1">
      <alignment horizontal="left" vertical="center"/>
    </xf>
    <xf numFmtId="0" fontId="68" fillId="31" borderId="3" xfId="0" applyFont="1" applyFill="1" applyBorder="1" applyAlignment="1">
      <alignment horizontal="left" vertical="center" wrapText="1"/>
    </xf>
    <xf numFmtId="0" fontId="69" fillId="29" borderId="3" xfId="0" applyFont="1" applyFill="1" applyBorder="1" applyAlignment="1">
      <alignment horizontal="center" vertical="center"/>
    </xf>
    <xf numFmtId="16" fontId="79" fillId="29" borderId="3" xfId="0" applyNumberFormat="1" applyFont="1" applyFill="1" applyBorder="1" applyAlignment="1">
      <alignment horizontal="center" vertical="center"/>
    </xf>
    <xf numFmtId="0" fontId="68" fillId="29" borderId="3" xfId="0" applyFont="1" applyFill="1" applyBorder="1" applyAlignment="1">
      <alignment horizontal="center" vertical="center"/>
    </xf>
    <xf numFmtId="0" fontId="70" fillId="31" borderId="3" xfId="0" applyFont="1" applyFill="1" applyBorder="1" applyAlignment="1">
      <alignment horizontal="left" vertical="center"/>
    </xf>
    <xf numFmtId="179" fontId="108" fillId="31" borderId="3" xfId="0" applyNumberFormat="1" applyFont="1" applyFill="1" applyBorder="1" applyAlignment="1">
      <alignment horizontal="center" vertical="center" wrapText="1"/>
    </xf>
    <xf numFmtId="0" fontId="70" fillId="31" borderId="3" xfId="0" applyFont="1" applyFill="1" applyBorder="1" applyAlignment="1">
      <alignment horizontal="left" vertical="center" wrapText="1"/>
    </xf>
    <xf numFmtId="0" fontId="71" fillId="31" borderId="3" xfId="0" applyFont="1" applyFill="1" applyBorder="1" applyAlignment="1">
      <alignment horizontal="left" vertical="center"/>
    </xf>
    <xf numFmtId="169" fontId="69" fillId="29" borderId="3" xfId="0" applyNumberFormat="1" applyFont="1" applyFill="1" applyBorder="1" applyAlignment="1">
      <alignment horizontal="right" vertical="center"/>
    </xf>
    <xf numFmtId="169" fontId="63" fillId="31" borderId="3" xfId="0" applyNumberFormat="1" applyFont="1" applyFill="1" applyBorder="1" applyAlignment="1">
      <alignment horizontal="right" vertical="center"/>
    </xf>
    <xf numFmtId="0" fontId="68" fillId="31" borderId="3" xfId="0" applyFont="1" applyFill="1" applyBorder="1" applyAlignment="1">
      <alignment vertical="center"/>
    </xf>
    <xf numFmtId="0" fontId="70" fillId="0" borderId="0" xfId="0" quotePrefix="1" applyFont="1" applyFill="1" applyBorder="1" applyAlignment="1">
      <alignment horizontal="center" vertical="center"/>
    </xf>
    <xf numFmtId="170" fontId="80" fillId="29" borderId="0" xfId="0" applyNumberFormat="1" applyFont="1" applyFill="1" applyBorder="1" applyAlignment="1">
      <alignment vertical="center"/>
    </xf>
    <xf numFmtId="0" fontId="71" fillId="22" borderId="0" xfId="0" applyFont="1" applyFill="1" applyBorder="1" applyAlignment="1">
      <alignment vertical="center"/>
    </xf>
    <xf numFmtId="0" fontId="71" fillId="29" borderId="0" xfId="0" applyFont="1" applyFill="1" applyAlignment="1">
      <alignment horizontal="left" vertical="center"/>
    </xf>
    <xf numFmtId="0" fontId="71" fillId="0" borderId="0" xfId="0" applyFont="1" applyFill="1" applyAlignment="1">
      <alignment vertical="center"/>
    </xf>
    <xf numFmtId="0" fontId="62" fillId="0" borderId="3" xfId="0" applyFont="1" applyFill="1" applyBorder="1" applyAlignment="1">
      <alignment horizontal="center" vertical="center"/>
    </xf>
    <xf numFmtId="177" fontId="64" fillId="22" borderId="3" xfId="0" applyNumberFormat="1" applyFont="1" applyFill="1" applyBorder="1" applyAlignment="1">
      <alignment vertical="center"/>
    </xf>
    <xf numFmtId="177" fontId="108" fillId="22" borderId="3" xfId="0" applyNumberFormat="1" applyFont="1" applyFill="1" applyBorder="1" applyAlignment="1">
      <alignment vertical="center"/>
    </xf>
    <xf numFmtId="177" fontId="64" fillId="29" borderId="3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center" vertical="center" wrapText="1"/>
    </xf>
    <xf numFmtId="177" fontId="112" fillId="0" borderId="3" xfId="0" applyNumberFormat="1" applyFont="1" applyFill="1" applyBorder="1" applyAlignment="1">
      <alignment horizontal="center" vertical="center" wrapText="1"/>
    </xf>
    <xf numFmtId="179" fontId="107" fillId="22" borderId="3" xfId="0" applyNumberFormat="1" applyFont="1" applyFill="1" applyBorder="1" applyAlignment="1">
      <alignment vertical="center"/>
    </xf>
    <xf numFmtId="179" fontId="64" fillId="22" borderId="3" xfId="0" applyNumberFormat="1" applyFont="1" applyFill="1" applyBorder="1" applyAlignment="1">
      <alignment vertical="center"/>
    </xf>
    <xf numFmtId="179" fontId="113" fillId="22" borderId="3" xfId="0" applyNumberFormat="1" applyFont="1" applyFill="1" applyBorder="1" applyAlignment="1">
      <alignment vertical="center"/>
    </xf>
    <xf numFmtId="179" fontId="108" fillId="22" borderId="3" xfId="0" applyNumberFormat="1" applyFont="1" applyFill="1" applyBorder="1" applyAlignment="1">
      <alignment vertical="center"/>
    </xf>
    <xf numFmtId="0" fontId="78" fillId="22" borderId="13" xfId="0" applyFont="1" applyFill="1" applyBorder="1" applyAlignment="1">
      <alignment horizontal="center"/>
    </xf>
    <xf numFmtId="0" fontId="81" fillId="0" borderId="19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98" fillId="22" borderId="0" xfId="0" applyFont="1" applyFill="1" applyBorder="1" applyAlignment="1">
      <alignment horizontal="center" vertical="center" wrapText="1"/>
    </xf>
    <xf numFmtId="0" fontId="98" fillId="22" borderId="0" xfId="0" applyFont="1" applyFill="1" applyBorder="1" applyAlignment="1">
      <alignment horizontal="center" vertical="center"/>
    </xf>
    <xf numFmtId="0" fontId="81" fillId="29" borderId="0" xfId="0" applyFont="1" applyFill="1" applyBorder="1" applyAlignment="1">
      <alignment horizontal="center" vertical="center"/>
    </xf>
    <xf numFmtId="170" fontId="78" fillId="29" borderId="13" xfId="0" applyNumberFormat="1" applyFont="1" applyFill="1" applyBorder="1" applyAlignment="1">
      <alignment horizontal="center" wrapText="1"/>
    </xf>
    <xf numFmtId="170" fontId="78" fillId="29" borderId="13" xfId="0" quotePrefix="1" applyNumberFormat="1" applyFont="1" applyFill="1" applyBorder="1" applyAlignment="1">
      <alignment horizontal="center" wrapText="1"/>
    </xf>
    <xf numFmtId="0" fontId="65" fillId="0" borderId="3" xfId="0" applyFont="1" applyFill="1" applyBorder="1" applyAlignment="1">
      <alignment horizontal="center" vertical="center"/>
    </xf>
    <xf numFmtId="0" fontId="65" fillId="0" borderId="18" xfId="0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/>
    </xf>
    <xf numFmtId="0" fontId="65" fillId="0" borderId="22" xfId="0" applyFont="1" applyFill="1" applyBorder="1" applyAlignment="1" applyProtection="1">
      <alignment horizontal="center"/>
      <protection locked="0"/>
    </xf>
    <xf numFmtId="0" fontId="65" fillId="0" borderId="13" xfId="0" applyFont="1" applyFill="1" applyBorder="1" applyAlignment="1" applyProtection="1">
      <alignment horizontal="center"/>
      <protection locked="0"/>
    </xf>
    <xf numFmtId="0" fontId="62" fillId="0" borderId="3" xfId="0" applyFont="1" applyFill="1" applyBorder="1" applyAlignment="1">
      <alignment horizontal="center" vertical="center"/>
    </xf>
    <xf numFmtId="0" fontId="62" fillId="0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81" fillId="0" borderId="15" xfId="0" applyFont="1" applyFill="1" applyBorder="1" applyAlignment="1">
      <alignment horizontal="center" vertical="center"/>
    </xf>
    <xf numFmtId="0" fontId="81" fillId="0" borderId="14" xfId="0" applyFont="1" applyFill="1" applyBorder="1" applyAlignment="1">
      <alignment horizontal="center" vertical="center"/>
    </xf>
    <xf numFmtId="0" fontId="81" fillId="0" borderId="16" xfId="0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center" vertical="center"/>
    </xf>
    <xf numFmtId="0" fontId="68" fillId="22" borderId="16" xfId="0" applyFont="1" applyFill="1" applyBorder="1" applyAlignment="1">
      <alignment horizontal="center" vertical="center"/>
    </xf>
    <xf numFmtId="0" fontId="68" fillId="22" borderId="15" xfId="0" applyFont="1" applyFill="1" applyBorder="1" applyAlignment="1">
      <alignment horizontal="center" vertical="center" wrapText="1"/>
    </xf>
    <xf numFmtId="0" fontId="68" fillId="22" borderId="16" xfId="0" applyFont="1" applyFill="1" applyBorder="1" applyAlignment="1">
      <alignment horizontal="center" vertical="center" wrapText="1"/>
    </xf>
    <xf numFmtId="0" fontId="68" fillId="22" borderId="3" xfId="0" applyFont="1" applyFill="1" applyBorder="1" applyAlignment="1">
      <alignment horizontal="left" vertical="center" wrapText="1"/>
    </xf>
    <xf numFmtId="0" fontId="68" fillId="22" borderId="15" xfId="0" applyFont="1" applyFill="1" applyBorder="1" applyAlignment="1">
      <alignment horizontal="left" vertical="center" wrapText="1"/>
    </xf>
    <xf numFmtId="0" fontId="68" fillId="22" borderId="16" xfId="0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8" fillId="22" borderId="15" xfId="0" applyFont="1" applyFill="1" applyBorder="1" applyAlignment="1">
      <alignment horizontal="left" vertical="center"/>
    </xf>
    <xf numFmtId="0" fontId="68" fillId="22" borderId="16" xfId="0" applyFont="1" applyFill="1" applyBorder="1" applyAlignment="1">
      <alignment horizontal="left" vertical="center"/>
    </xf>
    <xf numFmtId="0" fontId="68" fillId="22" borderId="23" xfId="0" applyFont="1" applyFill="1" applyBorder="1" applyAlignment="1">
      <alignment horizontal="left" vertical="center"/>
    </xf>
    <xf numFmtId="170" fontId="86" fillId="29" borderId="13" xfId="0" applyNumberFormat="1" applyFont="1" applyFill="1" applyBorder="1" applyAlignment="1">
      <alignment horizontal="center" vertical="center" wrapText="1"/>
    </xf>
    <xf numFmtId="170" fontId="86" fillId="29" borderId="13" xfId="0" quotePrefix="1" applyNumberFormat="1" applyFont="1" applyFill="1" applyBorder="1" applyAlignment="1">
      <alignment horizontal="center" vertical="center" wrapText="1"/>
    </xf>
    <xf numFmtId="0" fontId="70" fillId="22" borderId="13" xfId="0" applyFont="1" applyFill="1" applyBorder="1" applyAlignment="1">
      <alignment horizontal="center"/>
    </xf>
    <xf numFmtId="170" fontId="70" fillId="29" borderId="13" xfId="0" applyNumberFormat="1" applyFont="1" applyFill="1" applyBorder="1" applyAlignment="1">
      <alignment horizontal="center" vertical="center" wrapText="1"/>
    </xf>
    <xf numFmtId="170" fontId="70" fillId="29" borderId="13" xfId="0" quotePrefix="1" applyNumberFormat="1" applyFont="1" applyFill="1" applyBorder="1" applyAlignment="1">
      <alignment horizontal="center" vertical="center" wrapText="1"/>
    </xf>
    <xf numFmtId="0" fontId="70" fillId="29" borderId="13" xfId="0" applyFont="1" applyFill="1" applyBorder="1" applyAlignment="1">
      <alignment horizontal="center" vertical="center"/>
    </xf>
    <xf numFmtId="0" fontId="71" fillId="29" borderId="0" xfId="0" applyFont="1" applyFill="1" applyBorder="1" applyAlignment="1">
      <alignment horizontal="center" vertical="center"/>
    </xf>
    <xf numFmtId="0" fontId="63" fillId="0" borderId="0" xfId="0" applyFont="1" applyFill="1" applyBorder="1" applyAlignment="1">
      <alignment horizontal="center" vertical="center" wrapText="1"/>
    </xf>
    <xf numFmtId="0" fontId="68" fillId="0" borderId="3" xfId="0" applyFont="1" applyFill="1" applyBorder="1" applyAlignment="1">
      <alignment horizontal="center" vertical="center"/>
    </xf>
    <xf numFmtId="0" fontId="71" fillId="29" borderId="19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170" fontId="70" fillId="0" borderId="13" xfId="0" applyNumberFormat="1" applyFont="1" applyFill="1" applyBorder="1" applyAlignment="1">
      <alignment horizontal="center" vertical="center" wrapText="1"/>
    </xf>
    <xf numFmtId="0" fontId="102" fillId="0" borderId="13" xfId="0" applyFont="1" applyBorder="1" applyAlignment="1">
      <alignment horizontal="center" vertical="center"/>
    </xf>
    <xf numFmtId="170" fontId="104" fillId="29" borderId="19" xfId="0" applyNumberFormat="1" applyFont="1" applyFill="1" applyBorder="1" applyAlignment="1">
      <alignment horizontal="center" vertical="center" wrapText="1"/>
    </xf>
    <xf numFmtId="0" fontId="0" fillId="29" borderId="19" xfId="0" applyFont="1" applyFill="1" applyBorder="1" applyAlignment="1">
      <alignment vertical="center" wrapText="1"/>
    </xf>
    <xf numFmtId="170" fontId="104" fillId="0" borderId="19" xfId="0" applyNumberFormat="1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/>
    </xf>
    <xf numFmtId="170" fontId="71" fillId="29" borderId="13" xfId="0" applyNumberFormat="1" applyFont="1" applyFill="1" applyBorder="1" applyAlignment="1">
      <alignment horizontal="center" wrapText="1"/>
    </xf>
    <xf numFmtId="170" fontId="71" fillId="29" borderId="13" xfId="0" quotePrefix="1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 vertical="center"/>
    </xf>
    <xf numFmtId="3" fontId="76" fillId="22" borderId="15" xfId="0" applyNumberFormat="1" applyFont="1" applyFill="1" applyBorder="1" applyAlignment="1">
      <alignment horizontal="center" vertical="center" wrapText="1"/>
    </xf>
    <xf numFmtId="3" fontId="76" fillId="22" borderId="16" xfId="0" applyNumberFormat="1" applyFont="1" applyFill="1" applyBorder="1" applyAlignment="1">
      <alignment horizontal="center" vertical="center" wrapText="1"/>
    </xf>
    <xf numFmtId="0" fontId="83" fillId="0" borderId="0" xfId="0" applyFont="1" applyFill="1" applyAlignment="1">
      <alignment vertical="center" wrapText="1"/>
    </xf>
    <xf numFmtId="0" fontId="93" fillId="0" borderId="0" xfId="0" applyFont="1" applyAlignment="1">
      <alignment vertical="center" wrapText="1"/>
    </xf>
    <xf numFmtId="0" fontId="77" fillId="22" borderId="0" xfId="0" applyFont="1" applyFill="1" applyBorder="1" applyAlignment="1">
      <alignment horizontal="center"/>
    </xf>
    <xf numFmtId="0" fontId="76" fillId="22" borderId="13" xfId="0" applyFont="1" applyFill="1" applyBorder="1" applyAlignment="1">
      <alignment horizontal="center"/>
    </xf>
    <xf numFmtId="0" fontId="77" fillId="22" borderId="0" xfId="0" applyFont="1" applyFill="1" applyAlignment="1">
      <alignment horizontal="center" vertical="center"/>
    </xf>
    <xf numFmtId="0" fontId="77" fillId="0" borderId="13" xfId="0" applyFont="1" applyFill="1" applyBorder="1" applyAlignment="1">
      <alignment horizontal="center"/>
    </xf>
    <xf numFmtId="0" fontId="77" fillId="0" borderId="19" xfId="0" applyFont="1" applyFill="1" applyBorder="1" applyAlignment="1">
      <alignment horizontal="center" vertical="center"/>
    </xf>
    <xf numFmtId="0" fontId="77" fillId="22" borderId="0" xfId="0" applyFont="1" applyFill="1" applyBorder="1" applyAlignment="1">
      <alignment horizontal="center" vertical="center" wrapText="1"/>
    </xf>
    <xf numFmtId="0" fontId="77" fillId="22" borderId="17" xfId="0" applyFont="1" applyFill="1" applyBorder="1" applyAlignment="1">
      <alignment horizontal="center" vertical="center" wrapText="1"/>
    </xf>
    <xf numFmtId="0" fontId="77" fillId="22" borderId="18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22" borderId="15" xfId="0" applyFont="1" applyFill="1" applyBorder="1" applyAlignment="1">
      <alignment horizontal="center" vertical="center" wrapText="1"/>
    </xf>
    <xf numFmtId="0" fontId="77" fillId="22" borderId="14" xfId="0" applyFont="1" applyFill="1" applyBorder="1" applyAlignment="1">
      <alignment horizontal="center" vertical="center" wrapText="1"/>
    </xf>
    <xf numFmtId="0" fontId="77" fillId="22" borderId="16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7" fillId="0" borderId="26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22" borderId="3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Руху" xfId="353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MSD5-BUH4/Downloads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L307"/>
  <sheetViews>
    <sheetView view="pageBreakPreview" zoomScale="70" zoomScaleNormal="75" zoomScaleSheetLayoutView="70" workbookViewId="0">
      <selection activeCell="E76" sqref="E76"/>
    </sheetView>
  </sheetViews>
  <sheetFormatPr defaultRowHeight="20.25"/>
  <cols>
    <col min="1" max="1" width="65.42578125" style="3" customWidth="1"/>
    <col min="2" max="2" width="17.28515625" style="4" customWidth="1"/>
    <col min="3" max="4" width="18" style="219" customWidth="1"/>
    <col min="5" max="5" width="18.7109375" style="345" customWidth="1"/>
    <col min="6" max="6" width="19" style="345" customWidth="1"/>
    <col min="7" max="7" width="18.7109375" style="3" customWidth="1"/>
    <col min="8" max="8" width="19.7109375" style="3" customWidth="1"/>
    <col min="9" max="9" width="10" style="3" customWidth="1"/>
    <col min="10" max="10" width="17.28515625" style="3" customWidth="1"/>
    <col min="11" max="11" width="16.28515625" style="3" customWidth="1"/>
    <col min="12" max="12" width="17.5703125" style="3" customWidth="1"/>
    <col min="13" max="13" width="10.5703125" style="3" customWidth="1"/>
    <col min="14" max="16384" width="9.140625" style="3"/>
  </cols>
  <sheetData>
    <row r="1" spans="1:8" ht="111" customHeight="1">
      <c r="A1" s="479" t="s">
        <v>511</v>
      </c>
      <c r="B1" s="480"/>
      <c r="C1" s="480"/>
      <c r="D1" s="480"/>
      <c r="E1" s="480"/>
      <c r="F1" s="480"/>
      <c r="G1" s="480"/>
      <c r="H1" s="480"/>
    </row>
    <row r="2" spans="1:8" ht="30" customHeight="1">
      <c r="A2" s="478" t="s">
        <v>24</v>
      </c>
      <c r="B2" s="478"/>
      <c r="C2" s="478"/>
      <c r="D2" s="478"/>
      <c r="E2" s="478"/>
      <c r="F2" s="478"/>
      <c r="G2" s="478"/>
      <c r="H2" s="478"/>
    </row>
    <row r="3" spans="1:8" ht="23.25" customHeight="1">
      <c r="B3" s="5"/>
      <c r="C3" s="419"/>
      <c r="D3" s="220"/>
      <c r="E3" s="220"/>
      <c r="F3" s="220"/>
      <c r="G3" s="5"/>
      <c r="H3" s="6" t="s">
        <v>86</v>
      </c>
    </row>
    <row r="4" spans="1:8" ht="48.75" customHeight="1">
      <c r="A4" s="489" t="s">
        <v>30</v>
      </c>
      <c r="B4" s="490" t="s">
        <v>5</v>
      </c>
      <c r="C4" s="495" t="s">
        <v>166</v>
      </c>
      <c r="D4" s="495"/>
      <c r="E4" s="492" t="s">
        <v>423</v>
      </c>
      <c r="F4" s="493"/>
      <c r="G4" s="493"/>
      <c r="H4" s="494"/>
    </row>
    <row r="5" spans="1:8" ht="55.5" customHeight="1">
      <c r="A5" s="489"/>
      <c r="B5" s="490"/>
      <c r="C5" s="392" t="s">
        <v>421</v>
      </c>
      <c r="D5" s="392" t="s">
        <v>422</v>
      </c>
      <c r="E5" s="337" t="s">
        <v>358</v>
      </c>
      <c r="F5" s="337" t="s">
        <v>359</v>
      </c>
      <c r="G5" s="266" t="s">
        <v>155</v>
      </c>
      <c r="H5" s="266" t="s">
        <v>156</v>
      </c>
    </row>
    <row r="6" spans="1:8" ht="23.25" customHeight="1">
      <c r="A6" s="7">
        <v>1</v>
      </c>
      <c r="B6" s="209">
        <v>2</v>
      </c>
      <c r="C6" s="392">
        <v>3</v>
      </c>
      <c r="D6" s="392">
        <v>5</v>
      </c>
      <c r="E6" s="392">
        <v>7</v>
      </c>
      <c r="F6" s="431">
        <v>8</v>
      </c>
      <c r="G6" s="260">
        <v>9</v>
      </c>
      <c r="H6" s="260">
        <v>10</v>
      </c>
    </row>
    <row r="7" spans="1:8" ht="24.95" customHeight="1">
      <c r="A7" s="491" t="s">
        <v>137</v>
      </c>
      <c r="B7" s="491"/>
      <c r="C7" s="491"/>
      <c r="D7" s="491"/>
      <c r="E7" s="491"/>
      <c r="F7" s="491"/>
      <c r="G7" s="491"/>
      <c r="H7" s="491"/>
    </row>
    <row r="8" spans="1:8" ht="45" customHeight="1">
      <c r="A8" s="8" t="s">
        <v>167</v>
      </c>
      <c r="B8" s="9">
        <v>1000</v>
      </c>
      <c r="C8" s="10">
        <v>46933.7</v>
      </c>
      <c r="D8" s="10">
        <v>57202.2</v>
      </c>
      <c r="E8" s="74">
        <v>57657.2</v>
      </c>
      <c r="F8" s="10">
        <v>57202.2</v>
      </c>
      <c r="G8" s="10">
        <f>F8-E8</f>
        <v>-455</v>
      </c>
      <c r="H8" s="10">
        <f>(F8/E8)*100</f>
        <v>99.210853111146562</v>
      </c>
    </row>
    <row r="9" spans="1:8" ht="47.25" customHeight="1">
      <c r="A9" s="8" t="s">
        <v>102</v>
      </c>
      <c r="B9" s="9">
        <v>1010</v>
      </c>
      <c r="C9" s="10">
        <f>SUM(C10:C14)</f>
        <v>-42200.9</v>
      </c>
      <c r="D9" s="10">
        <v>-47633</v>
      </c>
      <c r="E9" s="74">
        <f>SUM(E10:E14)</f>
        <v>-51013.700000000004</v>
      </c>
      <c r="F9" s="10">
        <v>-47633</v>
      </c>
      <c r="G9" s="10">
        <f t="shared" ref="G9:G43" si="0">F9-E9</f>
        <v>3380.7000000000044</v>
      </c>
      <c r="H9" s="10">
        <f t="shared" ref="H9:H43" si="1">(F9/E9)*100</f>
        <v>93.372956676343804</v>
      </c>
    </row>
    <row r="10" spans="1:8" ht="30" customHeight="1">
      <c r="A10" s="1" t="s">
        <v>103</v>
      </c>
      <c r="B10" s="11">
        <v>1011</v>
      </c>
      <c r="C10" s="12">
        <v>-10934.4</v>
      </c>
      <c r="D10" s="12">
        <v>-8624.7999999999993</v>
      </c>
      <c r="E10" s="161">
        <v>-12430.5</v>
      </c>
      <c r="F10" s="12">
        <v>-8624.7999999999993</v>
      </c>
      <c r="G10" s="12">
        <f t="shared" si="0"/>
        <v>3805.7000000000007</v>
      </c>
      <c r="H10" s="12">
        <f t="shared" si="1"/>
        <v>69.384176018663766</v>
      </c>
    </row>
    <row r="11" spans="1:8" ht="28.5" customHeight="1">
      <c r="A11" s="1" t="s">
        <v>2</v>
      </c>
      <c r="B11" s="11">
        <v>1012</v>
      </c>
      <c r="C11" s="12">
        <v>-23712.3</v>
      </c>
      <c r="D11" s="12">
        <v>-29974.9</v>
      </c>
      <c r="E11" s="161">
        <v>-29941.4</v>
      </c>
      <c r="F11" s="12">
        <v>-29974.9</v>
      </c>
      <c r="G11" s="12">
        <f t="shared" si="0"/>
        <v>-33.5</v>
      </c>
      <c r="H11" s="12">
        <f t="shared" si="1"/>
        <v>100.11188521578818</v>
      </c>
    </row>
    <row r="12" spans="1:8" ht="29.25" customHeight="1">
      <c r="A12" s="1" t="s">
        <v>3</v>
      </c>
      <c r="B12" s="11">
        <v>1013</v>
      </c>
      <c r="C12" s="12">
        <v>-5111.8999999999996</v>
      </c>
      <c r="D12" s="12">
        <v>-6368.9</v>
      </c>
      <c r="E12" s="161">
        <v>-6476.3</v>
      </c>
      <c r="F12" s="12">
        <v>-6368.9</v>
      </c>
      <c r="G12" s="12">
        <f t="shared" si="0"/>
        <v>107.40000000000055</v>
      </c>
      <c r="H12" s="12">
        <f t="shared" si="1"/>
        <v>98.341645692756657</v>
      </c>
    </row>
    <row r="13" spans="1:8" ht="29.25" customHeight="1">
      <c r="A13" s="1" t="s">
        <v>4</v>
      </c>
      <c r="B13" s="11">
        <v>1014</v>
      </c>
      <c r="C13" s="12">
        <v>-1236.9000000000001</v>
      </c>
      <c r="D13" s="12">
        <v>-1868.7</v>
      </c>
      <c r="E13" s="161">
        <v>-1132</v>
      </c>
      <c r="F13" s="12">
        <v>-1868.7</v>
      </c>
      <c r="G13" s="12">
        <f t="shared" si="0"/>
        <v>-736.7</v>
      </c>
      <c r="H13" s="12">
        <f t="shared" si="1"/>
        <v>165.07950530035336</v>
      </c>
    </row>
    <row r="14" spans="1:8" ht="30" customHeight="1">
      <c r="A14" s="1" t="s">
        <v>77</v>
      </c>
      <c r="B14" s="11">
        <v>1015</v>
      </c>
      <c r="C14" s="12">
        <v>-1205.4000000000001</v>
      </c>
      <c r="D14" s="12">
        <v>-795.7</v>
      </c>
      <c r="E14" s="161">
        <v>-1033.5</v>
      </c>
      <c r="F14" s="12">
        <v>-795.7</v>
      </c>
      <c r="G14" s="12">
        <f t="shared" si="0"/>
        <v>237.79999999999995</v>
      </c>
      <c r="H14" s="12">
        <f t="shared" si="1"/>
        <v>76.99080793420417</v>
      </c>
    </row>
    <row r="15" spans="1:8" ht="28.5" customHeight="1">
      <c r="A15" s="8" t="s">
        <v>32</v>
      </c>
      <c r="B15" s="11">
        <v>1020</v>
      </c>
      <c r="C15" s="10">
        <f t="shared" ref="C15" si="2">SUM(C8:C9)</f>
        <v>4732.7999999999956</v>
      </c>
      <c r="D15" s="10">
        <f>SUM(D8:D9)</f>
        <v>9569.1999999999971</v>
      </c>
      <c r="E15" s="74">
        <f t="shared" ref="E15" si="3">SUM(E8:E9)</f>
        <v>6643.4999999999927</v>
      </c>
      <c r="F15" s="10">
        <f>SUM(F8:F9)</f>
        <v>9569.1999999999971</v>
      </c>
      <c r="G15" s="10">
        <f t="shared" si="0"/>
        <v>2925.7000000000044</v>
      </c>
      <c r="H15" s="10">
        <f t="shared" si="1"/>
        <v>144.03853390532112</v>
      </c>
    </row>
    <row r="16" spans="1:8" ht="40.5" customHeight="1">
      <c r="A16" s="8" t="s">
        <v>125</v>
      </c>
      <c r="B16" s="9">
        <v>1020</v>
      </c>
      <c r="C16" s="10">
        <f t="shared" ref="C16:D16" si="4">SUM(C17:C21)</f>
        <v>-3014.4999999999995</v>
      </c>
      <c r="D16" s="10">
        <f t="shared" si="4"/>
        <v>-3726.9</v>
      </c>
      <c r="E16" s="109">
        <f>SUM(E17:E21)</f>
        <v>-3805.9</v>
      </c>
      <c r="F16" s="10">
        <f t="shared" ref="F16" si="5">SUM(F17:F21)</f>
        <v>-3726.9</v>
      </c>
      <c r="G16" s="10">
        <f t="shared" si="0"/>
        <v>79</v>
      </c>
      <c r="H16" s="10">
        <f t="shared" si="1"/>
        <v>97.924275467038029</v>
      </c>
    </row>
    <row r="17" spans="1:8" ht="27.75" customHeight="1">
      <c r="A17" s="1" t="s">
        <v>103</v>
      </c>
      <c r="B17" s="11">
        <v>1021</v>
      </c>
      <c r="C17" s="12">
        <v>-63.1</v>
      </c>
      <c r="D17" s="12">
        <v>-75.900000000000006</v>
      </c>
      <c r="E17" s="161">
        <v>-52.5</v>
      </c>
      <c r="F17" s="12">
        <v>-75.900000000000006</v>
      </c>
      <c r="G17" s="12">
        <f t="shared" si="0"/>
        <v>-23.400000000000006</v>
      </c>
      <c r="H17" s="12">
        <f t="shared" si="1"/>
        <v>144.57142857142858</v>
      </c>
    </row>
    <row r="18" spans="1:8" ht="27.75" customHeight="1">
      <c r="A18" s="1" t="s">
        <v>2</v>
      </c>
      <c r="B18" s="11">
        <v>1022</v>
      </c>
      <c r="C18" s="12">
        <v>-2362.6999999999998</v>
      </c>
      <c r="D18" s="12">
        <v>-2952.6</v>
      </c>
      <c r="E18" s="161">
        <v>-3004.1</v>
      </c>
      <c r="F18" s="12">
        <v>-2952.6</v>
      </c>
      <c r="G18" s="12">
        <f t="shared" si="0"/>
        <v>51.5</v>
      </c>
      <c r="H18" s="12">
        <f t="shared" si="1"/>
        <v>98.285676242468625</v>
      </c>
    </row>
    <row r="19" spans="1:8" ht="27.75" customHeight="1">
      <c r="A19" s="1" t="s">
        <v>3</v>
      </c>
      <c r="B19" s="11">
        <v>1023</v>
      </c>
      <c r="C19" s="12">
        <v>-509.1</v>
      </c>
      <c r="D19" s="12">
        <v>-626.9</v>
      </c>
      <c r="E19" s="161">
        <v>-651.5</v>
      </c>
      <c r="F19" s="12">
        <v>-626.9</v>
      </c>
      <c r="G19" s="12">
        <f t="shared" si="0"/>
        <v>24.600000000000023</v>
      </c>
      <c r="H19" s="12">
        <f t="shared" si="1"/>
        <v>96.224098234842671</v>
      </c>
    </row>
    <row r="20" spans="1:8" ht="27.75" customHeight="1">
      <c r="A20" s="1" t="s">
        <v>4</v>
      </c>
      <c r="B20" s="11">
        <v>1024</v>
      </c>
      <c r="C20" s="12" t="s">
        <v>33</v>
      </c>
      <c r="D20" s="12" t="s">
        <v>33</v>
      </c>
      <c r="E20" s="161"/>
      <c r="F20" s="12" t="s">
        <v>33</v>
      </c>
      <c r="G20" s="12"/>
      <c r="H20" s="12"/>
    </row>
    <row r="21" spans="1:8" ht="27.75" customHeight="1">
      <c r="A21" s="1" t="s">
        <v>104</v>
      </c>
      <c r="B21" s="11">
        <v>1025</v>
      </c>
      <c r="C21" s="12">
        <v>-79.599999999999994</v>
      </c>
      <c r="D21" s="12">
        <v>-71.5</v>
      </c>
      <c r="E21" s="161">
        <v>-97.8</v>
      </c>
      <c r="F21" s="12">
        <v>-71.5</v>
      </c>
      <c r="G21" s="12">
        <f t="shared" si="0"/>
        <v>26.299999999999997</v>
      </c>
      <c r="H21" s="12">
        <f t="shared" si="1"/>
        <v>73.108384458077708</v>
      </c>
    </row>
    <row r="22" spans="1:8" ht="31.5" customHeight="1">
      <c r="A22" s="8" t="s">
        <v>51</v>
      </c>
      <c r="B22" s="9">
        <v>1040</v>
      </c>
      <c r="C22" s="10">
        <f>SUM(C23:C24)</f>
        <v>16761.599999999999</v>
      </c>
      <c r="D22" s="10">
        <f>SUM(D23:D24)</f>
        <v>22408.1</v>
      </c>
      <c r="E22" s="74">
        <f>SUM(E23:E24)</f>
        <v>19566.8</v>
      </c>
      <c r="F22" s="10">
        <f>SUM(F23:F24)</f>
        <v>22408.1</v>
      </c>
      <c r="G22" s="10">
        <f t="shared" si="0"/>
        <v>2841.2999999999993</v>
      </c>
      <c r="H22" s="10">
        <f t="shared" si="1"/>
        <v>114.52102541038902</v>
      </c>
    </row>
    <row r="23" spans="1:8" ht="30.75" customHeight="1">
      <c r="A23" s="1" t="s">
        <v>52</v>
      </c>
      <c r="B23" s="11">
        <v>1041</v>
      </c>
      <c r="C23" s="12"/>
      <c r="D23" s="12"/>
      <c r="E23" s="161"/>
      <c r="F23" s="12"/>
      <c r="G23" s="12">
        <f t="shared" si="0"/>
        <v>0</v>
      </c>
      <c r="H23" s="12"/>
    </row>
    <row r="24" spans="1:8" ht="27.75" customHeight="1">
      <c r="A24" s="1" t="s">
        <v>53</v>
      </c>
      <c r="B24" s="11">
        <v>1042</v>
      </c>
      <c r="C24" s="12">
        <v>16761.599999999999</v>
      </c>
      <c r="D24" s="12">
        <v>22408.1</v>
      </c>
      <c r="E24" s="161">
        <v>19566.8</v>
      </c>
      <c r="F24" s="12">
        <v>22408.1</v>
      </c>
      <c r="G24" s="12">
        <f t="shared" si="0"/>
        <v>2841.2999999999993</v>
      </c>
      <c r="H24" s="12">
        <f t="shared" si="1"/>
        <v>114.52102541038902</v>
      </c>
    </row>
    <row r="25" spans="1:8" ht="39" customHeight="1">
      <c r="A25" s="8" t="s">
        <v>14</v>
      </c>
      <c r="B25" s="9">
        <v>1030</v>
      </c>
      <c r="C25" s="10">
        <f t="shared" ref="C25:D25" si="6">SUM(C26:C30)</f>
        <v>-17524.2</v>
      </c>
      <c r="D25" s="10">
        <f t="shared" si="6"/>
        <v>-25646.300000000003</v>
      </c>
      <c r="E25" s="74">
        <f t="shared" ref="E25:F25" si="7">SUM(E26:E30)</f>
        <v>-22220.299999999996</v>
      </c>
      <c r="F25" s="10">
        <f t="shared" si="7"/>
        <v>-25646.300000000003</v>
      </c>
      <c r="G25" s="10">
        <f t="shared" si="0"/>
        <v>-3426.0000000000073</v>
      </c>
      <c r="H25" s="10">
        <f t="shared" si="1"/>
        <v>115.41833368586387</v>
      </c>
    </row>
    <row r="26" spans="1:8" ht="27.75" customHeight="1">
      <c r="A26" s="1" t="s">
        <v>103</v>
      </c>
      <c r="B26" s="11">
        <v>1031</v>
      </c>
      <c r="C26" s="12">
        <v>-6675.2</v>
      </c>
      <c r="D26" s="12">
        <v>-13993.6</v>
      </c>
      <c r="E26" s="161">
        <v>-8390.2999999999993</v>
      </c>
      <c r="F26" s="12">
        <v>-13993.6</v>
      </c>
      <c r="G26" s="12">
        <f t="shared" si="0"/>
        <v>-5603.3000000000011</v>
      </c>
      <c r="H26" s="12">
        <f t="shared" si="1"/>
        <v>166.78307092714209</v>
      </c>
    </row>
    <row r="27" spans="1:8" ht="27.75" customHeight="1">
      <c r="A27" s="1" t="s">
        <v>2</v>
      </c>
      <c r="B27" s="11">
        <v>1032</v>
      </c>
      <c r="C27" s="12">
        <v>-7415.6</v>
      </c>
      <c r="D27" s="12">
        <v>-8136.3</v>
      </c>
      <c r="E27" s="161">
        <v>-9845.2999999999993</v>
      </c>
      <c r="F27" s="12">
        <v>-8136.3</v>
      </c>
      <c r="G27" s="12">
        <f t="shared" si="0"/>
        <v>1708.9999999999991</v>
      </c>
      <c r="H27" s="12">
        <f t="shared" si="1"/>
        <v>82.641463439407644</v>
      </c>
    </row>
    <row r="28" spans="1:8" ht="27.75" customHeight="1">
      <c r="A28" s="1" t="s">
        <v>3</v>
      </c>
      <c r="B28" s="11">
        <v>1033</v>
      </c>
      <c r="C28" s="12">
        <v>-1600.4</v>
      </c>
      <c r="D28" s="12">
        <v>-1730.4</v>
      </c>
      <c r="E28" s="161">
        <v>-2135.1</v>
      </c>
      <c r="F28" s="12">
        <v>-1730.4</v>
      </c>
      <c r="G28" s="12">
        <f t="shared" si="0"/>
        <v>404.69999999999982</v>
      </c>
      <c r="H28" s="12">
        <f t="shared" si="1"/>
        <v>81.045384291133914</v>
      </c>
    </row>
    <row r="29" spans="1:8" ht="27.75" customHeight="1">
      <c r="A29" s="1" t="s">
        <v>4</v>
      </c>
      <c r="B29" s="11">
        <v>1034</v>
      </c>
      <c r="C29" s="12">
        <v>-19.600000000000001</v>
      </c>
      <c r="D29" s="12">
        <v>-19.399999999999999</v>
      </c>
      <c r="E29" s="161">
        <v>-19.600000000000001</v>
      </c>
      <c r="F29" s="12">
        <v>-19.399999999999999</v>
      </c>
      <c r="G29" s="12">
        <f t="shared" si="0"/>
        <v>0.20000000000000284</v>
      </c>
      <c r="H29" s="12"/>
    </row>
    <row r="30" spans="1:8" ht="27.75" customHeight="1">
      <c r="A30" s="1" t="s">
        <v>105</v>
      </c>
      <c r="B30" s="11">
        <v>1035</v>
      </c>
      <c r="C30" s="12">
        <v>-1813.4</v>
      </c>
      <c r="D30" s="12">
        <v>-1766.6</v>
      </c>
      <c r="E30" s="161">
        <v>-1830</v>
      </c>
      <c r="F30" s="12">
        <v>-1766.6</v>
      </c>
      <c r="G30" s="12">
        <f t="shared" si="0"/>
        <v>63.400000000000091</v>
      </c>
      <c r="H30" s="12">
        <f t="shared" si="1"/>
        <v>96.535519125683052</v>
      </c>
    </row>
    <row r="31" spans="1:8" ht="47.25" customHeight="1">
      <c r="A31" s="8" t="s">
        <v>1</v>
      </c>
      <c r="B31" s="9">
        <v>1100</v>
      </c>
      <c r="C31" s="10">
        <f>SUM(C15,C16,C22,C25)</f>
        <v>955.69999999999345</v>
      </c>
      <c r="D31" s="10">
        <f>SUM(D15,D16,D22,D25)</f>
        <v>2604.0999999999913</v>
      </c>
      <c r="E31" s="74">
        <f>SUM(E15,E16,E22,E25)</f>
        <v>184.09999999999491</v>
      </c>
      <c r="F31" s="10">
        <f>SUM(F15,F16,F22,F25)</f>
        <v>2604.0999999999913</v>
      </c>
      <c r="G31" s="10">
        <f t="shared" si="0"/>
        <v>2419.9999999999964</v>
      </c>
      <c r="H31" s="10">
        <f t="shared" si="1"/>
        <v>1414.5029875068242</v>
      </c>
    </row>
    <row r="32" spans="1:8" ht="27.75" customHeight="1">
      <c r="A32" s="8" t="s">
        <v>168</v>
      </c>
      <c r="B32" s="9">
        <v>1130</v>
      </c>
      <c r="C32" s="10">
        <v>255.4</v>
      </c>
      <c r="D32" s="10">
        <v>840.9</v>
      </c>
      <c r="E32" s="74">
        <v>320</v>
      </c>
      <c r="F32" s="10">
        <v>840.9</v>
      </c>
      <c r="G32" s="10">
        <f t="shared" si="0"/>
        <v>520.9</v>
      </c>
      <c r="H32" s="10">
        <f t="shared" si="1"/>
        <v>262.78125</v>
      </c>
    </row>
    <row r="33" spans="1:12" ht="27.75" customHeight="1">
      <c r="A33" s="13" t="s">
        <v>169</v>
      </c>
      <c r="B33" s="9">
        <v>1140</v>
      </c>
      <c r="C33" s="12" t="s">
        <v>33</v>
      </c>
      <c r="D33" s="12" t="s">
        <v>33</v>
      </c>
      <c r="E33" s="74" t="s">
        <v>33</v>
      </c>
      <c r="F33" s="12" t="s">
        <v>33</v>
      </c>
      <c r="G33" s="10"/>
      <c r="H33" s="10"/>
    </row>
    <row r="34" spans="1:12" ht="27.75" customHeight="1">
      <c r="A34" s="8" t="s">
        <v>170</v>
      </c>
      <c r="B34" s="9">
        <v>1150</v>
      </c>
      <c r="C34" s="10">
        <v>537</v>
      </c>
      <c r="D34" s="10">
        <v>459.9</v>
      </c>
      <c r="E34" s="74">
        <v>419.6</v>
      </c>
      <c r="F34" s="10">
        <v>459.9</v>
      </c>
      <c r="G34" s="10">
        <f t="shared" si="0"/>
        <v>40.299999999999955</v>
      </c>
      <c r="H34" s="10">
        <f t="shared" si="1"/>
        <v>109.60438512869399</v>
      </c>
    </row>
    <row r="35" spans="1:12" ht="27.75" customHeight="1">
      <c r="A35" s="8" t="s">
        <v>171</v>
      </c>
      <c r="B35" s="9">
        <v>1160</v>
      </c>
      <c r="C35" s="12" t="s">
        <v>33</v>
      </c>
      <c r="D35" s="12" t="s">
        <v>33</v>
      </c>
      <c r="E35" s="74" t="s">
        <v>33</v>
      </c>
      <c r="F35" s="12" t="s">
        <v>33</v>
      </c>
      <c r="G35" s="10"/>
      <c r="H35" s="10"/>
    </row>
    <row r="36" spans="1:12" ht="28.5" customHeight="1">
      <c r="A36" s="8" t="s">
        <v>17</v>
      </c>
      <c r="B36" s="9">
        <v>1170</v>
      </c>
      <c r="C36" s="10">
        <f>SUM(C31, C32:C35)</f>
        <v>1748.0999999999935</v>
      </c>
      <c r="D36" s="10">
        <f>SUM(D31, D32:D35)</f>
        <v>3904.8999999999915</v>
      </c>
      <c r="E36" s="74">
        <f>SUM(E31, E32:E35)</f>
        <v>923.69999999999493</v>
      </c>
      <c r="F36" s="10">
        <f>SUM(F31, F32:F35)</f>
        <v>3904.8999999999915</v>
      </c>
      <c r="G36" s="10">
        <f t="shared" si="0"/>
        <v>2981.1999999999966</v>
      </c>
      <c r="H36" s="10">
        <f t="shared" si="1"/>
        <v>422.74548013424413</v>
      </c>
    </row>
    <row r="37" spans="1:12" ht="27.75" customHeight="1">
      <c r="A37" s="13" t="s">
        <v>35</v>
      </c>
      <c r="B37" s="11">
        <v>1180</v>
      </c>
      <c r="C37" s="12" t="s">
        <v>33</v>
      </c>
      <c r="D37" s="12" t="s">
        <v>33</v>
      </c>
      <c r="E37" s="161" t="s">
        <v>33</v>
      </c>
      <c r="F37" s="12" t="s">
        <v>33</v>
      </c>
      <c r="G37" s="12"/>
      <c r="H37" s="12"/>
    </row>
    <row r="38" spans="1:12" ht="27" customHeight="1">
      <c r="A38" s="13" t="s">
        <v>36</v>
      </c>
      <c r="B38" s="11">
        <v>1181</v>
      </c>
      <c r="C38" s="12"/>
      <c r="D38" s="12"/>
      <c r="E38" s="161"/>
      <c r="F38" s="12"/>
      <c r="G38" s="10"/>
      <c r="H38" s="12"/>
    </row>
    <row r="39" spans="1:12" ht="28.5" customHeight="1">
      <c r="A39" s="8" t="s">
        <v>73</v>
      </c>
      <c r="B39" s="11">
        <v>1200</v>
      </c>
      <c r="C39" s="10">
        <f>SUM(C36:C38)</f>
        <v>1748.0999999999935</v>
      </c>
      <c r="D39" s="10">
        <f>SUM(D36:D38)</f>
        <v>3904.8999999999915</v>
      </c>
      <c r="E39" s="74">
        <f>SUM(E36:E38)</f>
        <v>923.69999999999493</v>
      </c>
      <c r="F39" s="10">
        <f>SUM(F36:F38)</f>
        <v>3904.8999999999915</v>
      </c>
      <c r="G39" s="10">
        <f t="shared" si="0"/>
        <v>2981.1999999999966</v>
      </c>
      <c r="H39" s="10">
        <f t="shared" si="1"/>
        <v>422.74548013424413</v>
      </c>
    </row>
    <row r="40" spans="1:12" ht="31.5" customHeight="1">
      <c r="A40" s="13" t="s">
        <v>74</v>
      </c>
      <c r="B40" s="11">
        <v>1201</v>
      </c>
      <c r="C40" s="12">
        <v>1748.1</v>
      </c>
      <c r="D40" s="12">
        <v>3904.9</v>
      </c>
      <c r="E40" s="161">
        <f>SUM(E37:E39)</f>
        <v>923.69999999999493</v>
      </c>
      <c r="F40" s="12">
        <f>D40</f>
        <v>3904.9</v>
      </c>
      <c r="G40" s="12"/>
      <c r="H40" s="12"/>
    </row>
    <row r="41" spans="1:12" ht="33" customHeight="1">
      <c r="A41" s="13" t="s">
        <v>75</v>
      </c>
      <c r="B41" s="11">
        <v>1202</v>
      </c>
      <c r="C41" s="12" t="s">
        <v>33</v>
      </c>
      <c r="D41" s="12" t="s">
        <v>33</v>
      </c>
      <c r="E41" s="161" t="s">
        <v>33</v>
      </c>
      <c r="F41" s="12" t="s">
        <v>33</v>
      </c>
      <c r="G41" s="12"/>
      <c r="H41" s="12"/>
    </row>
    <row r="42" spans="1:12" ht="33" customHeight="1">
      <c r="A42" s="8" t="s">
        <v>162</v>
      </c>
      <c r="B42" s="9">
        <v>1210</v>
      </c>
      <c r="C42" s="10">
        <f t="shared" ref="C42:D42" si="8">SUM(C8,C22,C32,C34,C38)</f>
        <v>64487.7</v>
      </c>
      <c r="D42" s="10">
        <f t="shared" si="8"/>
        <v>80911.099999999977</v>
      </c>
      <c r="E42" s="74">
        <f>SUM(E8,E22,E32,E34,E38)</f>
        <v>77963.600000000006</v>
      </c>
      <c r="F42" s="10">
        <f t="shared" ref="F42" si="9">SUM(F8,F22,F32,F34,F38)</f>
        <v>80911.099999999977</v>
      </c>
      <c r="G42" s="10">
        <f t="shared" si="0"/>
        <v>2947.4999999999709</v>
      </c>
      <c r="H42" s="10">
        <f t="shared" si="1"/>
        <v>103.78061043871752</v>
      </c>
    </row>
    <row r="43" spans="1:12" ht="33" customHeight="1">
      <c r="A43" s="8" t="s">
        <v>163</v>
      </c>
      <c r="B43" s="9">
        <v>1220</v>
      </c>
      <c r="C43" s="10">
        <f t="shared" ref="C43:D43" si="10">SUM(C9,C16,C25,C33,C35,C37)</f>
        <v>-62739.600000000006</v>
      </c>
      <c r="D43" s="10">
        <f t="shared" si="10"/>
        <v>-77006.200000000012</v>
      </c>
      <c r="E43" s="74">
        <f>SUM(E9,E16,E25,E33,E35,E37)</f>
        <v>-77039.899999999994</v>
      </c>
      <c r="F43" s="10">
        <f t="shared" ref="F43" si="11">SUM(F9,F16,F25,F33,F35,F37)</f>
        <v>-77006.200000000012</v>
      </c>
      <c r="G43" s="10">
        <f t="shared" si="0"/>
        <v>33.699999999982538</v>
      </c>
      <c r="H43" s="10">
        <f t="shared" si="1"/>
        <v>99.956256433354682</v>
      </c>
    </row>
    <row r="44" spans="1:12" s="24" customFormat="1" ht="30.75" customHeight="1">
      <c r="A44" s="21" t="s">
        <v>26</v>
      </c>
      <c r="B44" s="17"/>
      <c r="C44" s="10"/>
      <c r="D44" s="10"/>
      <c r="E44" s="10"/>
      <c r="F44" s="10"/>
      <c r="G44" s="470"/>
      <c r="H44" s="470"/>
      <c r="L44" s="329"/>
    </row>
    <row r="45" spans="1:12" s="24" customFormat="1" ht="30.75" customHeight="1">
      <c r="A45" s="1" t="s">
        <v>85</v>
      </c>
      <c r="B45" s="18">
        <v>9000</v>
      </c>
      <c r="C45" s="12">
        <v>17672.7</v>
      </c>
      <c r="D45" s="12">
        <v>22694.3</v>
      </c>
      <c r="E45" s="161">
        <v>20873.3</v>
      </c>
      <c r="F45" s="12">
        <v>22694.3</v>
      </c>
      <c r="G45" s="20">
        <f t="shared" ref="G45:G50" si="12">F45-E45</f>
        <v>1821</v>
      </c>
      <c r="H45" s="20">
        <f t="shared" ref="H45:H50" si="13">(F45/E45)*100</f>
        <v>108.72406375609032</v>
      </c>
      <c r="J45" s="329"/>
    </row>
    <row r="46" spans="1:12" s="24" customFormat="1" ht="30.75" customHeight="1">
      <c r="A46" s="1" t="s">
        <v>2</v>
      </c>
      <c r="B46" s="18">
        <v>9010</v>
      </c>
      <c r="C46" s="12">
        <v>33490.6</v>
      </c>
      <c r="D46" s="12">
        <v>41063.800000000003</v>
      </c>
      <c r="E46" s="161">
        <v>42790.8</v>
      </c>
      <c r="F46" s="12">
        <v>41063.800000000003</v>
      </c>
      <c r="G46" s="20">
        <f t="shared" si="12"/>
        <v>-1727</v>
      </c>
      <c r="H46" s="20">
        <f t="shared" si="13"/>
        <v>95.964085738055843</v>
      </c>
      <c r="J46" s="329"/>
    </row>
    <row r="47" spans="1:12" s="24" customFormat="1" ht="30.75" customHeight="1">
      <c r="A47" s="1" t="s">
        <v>3</v>
      </c>
      <c r="B47" s="18">
        <v>9020</v>
      </c>
      <c r="C47" s="12">
        <v>7221.4</v>
      </c>
      <c r="D47" s="12">
        <v>8726.2000000000007</v>
      </c>
      <c r="E47" s="161">
        <v>9262.9</v>
      </c>
      <c r="F47" s="12">
        <v>8726.2000000000007</v>
      </c>
      <c r="G47" s="20">
        <f t="shared" si="12"/>
        <v>-536.69999999999891</v>
      </c>
      <c r="H47" s="20">
        <f t="shared" si="13"/>
        <v>94.205918232950808</v>
      </c>
      <c r="J47" s="329"/>
    </row>
    <row r="48" spans="1:12" s="24" customFormat="1" ht="30.75" customHeight="1">
      <c r="A48" s="1" t="s">
        <v>4</v>
      </c>
      <c r="B48" s="18">
        <v>9030</v>
      </c>
      <c r="C48" s="12">
        <v>1256.5</v>
      </c>
      <c r="D48" s="12">
        <v>1888.1</v>
      </c>
      <c r="E48" s="161">
        <v>1151.5999999999999</v>
      </c>
      <c r="F48" s="12">
        <v>1888.1</v>
      </c>
      <c r="G48" s="20">
        <f t="shared" si="12"/>
        <v>736.5</v>
      </c>
      <c r="H48" s="20">
        <f t="shared" si="13"/>
        <v>163.95449808961448</v>
      </c>
      <c r="J48" s="329"/>
    </row>
    <row r="49" spans="1:11" s="24" customFormat="1" ht="30.75" customHeight="1">
      <c r="A49" s="1" t="s">
        <v>6</v>
      </c>
      <c r="B49" s="18">
        <v>9040</v>
      </c>
      <c r="C49" s="12">
        <v>3098.4</v>
      </c>
      <c r="D49" s="12">
        <v>2633.8</v>
      </c>
      <c r="E49" s="161">
        <v>2961.3</v>
      </c>
      <c r="F49" s="12">
        <v>2633.8</v>
      </c>
      <c r="G49" s="20">
        <f t="shared" si="12"/>
        <v>-327.5</v>
      </c>
      <c r="H49" s="20">
        <f t="shared" si="13"/>
        <v>88.940667949886873</v>
      </c>
      <c r="J49" s="329"/>
    </row>
    <row r="50" spans="1:11" s="24" customFormat="1" ht="30.75" customHeight="1">
      <c r="A50" s="21" t="s">
        <v>11</v>
      </c>
      <c r="B50" s="17">
        <v>9050</v>
      </c>
      <c r="C50" s="10">
        <f t="shared" ref="C50" si="14">SUM(C45:C49)</f>
        <v>62739.600000000006</v>
      </c>
      <c r="D50" s="10">
        <f t="shared" ref="D50" si="15">SUM(D45:D49)</f>
        <v>77006.200000000012</v>
      </c>
      <c r="E50" s="74">
        <f t="shared" ref="E50:F50" si="16">SUM(E45:E49)</f>
        <v>77039.900000000009</v>
      </c>
      <c r="F50" s="10">
        <f t="shared" si="16"/>
        <v>77006.200000000012</v>
      </c>
      <c r="G50" s="19">
        <f t="shared" si="12"/>
        <v>-33.69999999999709</v>
      </c>
      <c r="H50" s="19">
        <f t="shared" si="13"/>
        <v>99.956256433354667</v>
      </c>
    </row>
    <row r="51" spans="1:11" ht="24.95" customHeight="1">
      <c r="A51" s="486" t="s">
        <v>138</v>
      </c>
      <c r="B51" s="486"/>
      <c r="C51" s="486"/>
      <c r="D51" s="486"/>
      <c r="E51" s="486"/>
      <c r="F51" s="486"/>
      <c r="G51" s="486"/>
      <c r="H51" s="486"/>
    </row>
    <row r="52" spans="1:11" ht="69" customHeight="1">
      <c r="A52" s="14" t="s">
        <v>176</v>
      </c>
      <c r="B52" s="9">
        <v>2110</v>
      </c>
      <c r="C52" s="10">
        <f>SUM(C53:C56)</f>
        <v>-481.59999999999991</v>
      </c>
      <c r="D52" s="10">
        <f>SUM(D53:D56)</f>
        <v>-642.40000000000009</v>
      </c>
      <c r="E52" s="74">
        <f t="shared" ref="E52" si="17">SUM(E53:E56)</f>
        <v>-644.6</v>
      </c>
      <c r="F52" s="10">
        <f>SUM(F53:F56)</f>
        <v>-642.40000000000009</v>
      </c>
      <c r="G52" s="10">
        <f>F52-E52</f>
        <v>2.1999999999999318</v>
      </c>
      <c r="H52" s="10">
        <f>(F52/E52)*100</f>
        <v>99.658703071672363</v>
      </c>
    </row>
    <row r="53" spans="1:11" s="183" customFormat="1" ht="44.25" customHeight="1">
      <c r="A53" s="1" t="s">
        <v>82</v>
      </c>
      <c r="B53" s="11">
        <v>2111</v>
      </c>
      <c r="C53" s="12">
        <v>-780.4</v>
      </c>
      <c r="D53" s="12">
        <v>-760.1</v>
      </c>
      <c r="E53" s="161">
        <v>-707.1</v>
      </c>
      <c r="F53" s="12">
        <v>-760.1</v>
      </c>
      <c r="G53" s="12">
        <f t="shared" ref="G53:G55" si="18">F53-E53</f>
        <v>-53</v>
      </c>
      <c r="H53" s="12">
        <f>(F53/E53)*100</f>
        <v>107.49540376184414</v>
      </c>
    </row>
    <row r="54" spans="1:11" s="183" customFormat="1" ht="45.75" customHeight="1">
      <c r="A54" s="15" t="s">
        <v>83</v>
      </c>
      <c r="B54" s="11">
        <v>2112</v>
      </c>
      <c r="C54" s="12">
        <v>805.2</v>
      </c>
      <c r="D54" s="12">
        <v>729.9</v>
      </c>
      <c r="E54" s="161">
        <v>704.3</v>
      </c>
      <c r="F54" s="12">
        <v>729.9</v>
      </c>
      <c r="G54" s="12">
        <f t="shared" si="18"/>
        <v>25.600000000000023</v>
      </c>
      <c r="H54" s="12">
        <f t="shared" ref="H54:H68" si="19">(F54/E54)*100</f>
        <v>103.63481470964078</v>
      </c>
      <c r="K54" s="335"/>
    </row>
    <row r="55" spans="1:11" ht="28.5" customHeight="1">
      <c r="A55" s="1" t="s">
        <v>89</v>
      </c>
      <c r="B55" s="11">
        <v>2113</v>
      </c>
      <c r="C55" s="12">
        <v>-506.4</v>
      </c>
      <c r="D55" s="12">
        <v>-612.20000000000005</v>
      </c>
      <c r="E55" s="161">
        <v>-641.79999999999995</v>
      </c>
      <c r="F55" s="12">
        <v>-612.20000000000005</v>
      </c>
      <c r="G55" s="12">
        <f t="shared" si="18"/>
        <v>29.599999999999909</v>
      </c>
      <c r="H55" s="12">
        <f t="shared" si="19"/>
        <v>95.38797133063261</v>
      </c>
    </row>
    <row r="56" spans="1:11" ht="33" customHeight="1">
      <c r="A56" s="1" t="s">
        <v>68</v>
      </c>
      <c r="B56" s="11">
        <v>2114</v>
      </c>
      <c r="C56" s="12" t="s">
        <v>33</v>
      </c>
      <c r="D56" s="12" t="s">
        <v>33</v>
      </c>
      <c r="E56" s="161" t="s">
        <v>33</v>
      </c>
      <c r="F56" s="12" t="s">
        <v>33</v>
      </c>
      <c r="G56" s="12"/>
      <c r="H56" s="12"/>
    </row>
    <row r="57" spans="1:11" ht="43.5" customHeight="1">
      <c r="A57" s="16" t="s">
        <v>87</v>
      </c>
      <c r="B57" s="17">
        <v>2120</v>
      </c>
      <c r="C57" s="10">
        <f>SUM(C58:C63)</f>
        <v>-6066.4</v>
      </c>
      <c r="D57" s="10">
        <f>SUM(D58:D63)</f>
        <v>-7411.5</v>
      </c>
      <c r="E57" s="10">
        <f>SUM(E58:E63)</f>
        <v>-7689.5</v>
      </c>
      <c r="F57" s="10">
        <f>SUM(F58:F63)</f>
        <v>-7411.5</v>
      </c>
      <c r="G57" s="10">
        <f>F57-E57</f>
        <v>278</v>
      </c>
      <c r="H57" s="10">
        <f t="shared" si="19"/>
        <v>96.384680408349041</v>
      </c>
    </row>
    <row r="58" spans="1:11" ht="36" customHeight="1">
      <c r="A58" s="15" t="s">
        <v>59</v>
      </c>
      <c r="B58" s="18">
        <v>2121</v>
      </c>
      <c r="C58" s="12" t="s">
        <v>33</v>
      </c>
      <c r="D58" s="12" t="s">
        <v>33</v>
      </c>
      <c r="E58" s="161" t="s">
        <v>33</v>
      </c>
      <c r="F58" s="12" t="s">
        <v>33</v>
      </c>
      <c r="G58" s="12"/>
      <c r="H58" s="12"/>
    </row>
    <row r="59" spans="1:11" ht="33.75" customHeight="1">
      <c r="A59" s="1" t="s">
        <v>16</v>
      </c>
      <c r="B59" s="18">
        <v>2122</v>
      </c>
      <c r="C59" s="12">
        <v>-6066.4</v>
      </c>
      <c r="D59" s="12">
        <v>-7336.8</v>
      </c>
      <c r="E59" s="161">
        <v>-7689.5</v>
      </c>
      <c r="F59" s="12">
        <v>-7336.8</v>
      </c>
      <c r="G59" s="12">
        <f>F59-E59</f>
        <v>352.69999999999982</v>
      </c>
      <c r="H59" s="12">
        <f t="shared" si="19"/>
        <v>95.413225827427013</v>
      </c>
    </row>
    <row r="60" spans="1:11" ht="31.5" customHeight="1">
      <c r="A60" s="1" t="s">
        <v>71</v>
      </c>
      <c r="B60" s="18">
        <v>2123</v>
      </c>
      <c r="C60" s="12" t="s">
        <v>33</v>
      </c>
      <c r="D60" s="12">
        <v>-74.7</v>
      </c>
      <c r="E60" s="161" t="s">
        <v>33</v>
      </c>
      <c r="F60" s="12">
        <v>-74.7</v>
      </c>
      <c r="G60" s="12"/>
      <c r="H60" s="12"/>
    </row>
    <row r="61" spans="1:11" ht="31.5" customHeight="1">
      <c r="A61" s="1" t="s">
        <v>72</v>
      </c>
      <c r="B61" s="18">
        <v>2124</v>
      </c>
      <c r="C61" s="12" t="s">
        <v>33</v>
      </c>
      <c r="D61" s="12" t="s">
        <v>33</v>
      </c>
      <c r="E61" s="161" t="s">
        <v>33</v>
      </c>
      <c r="F61" s="12" t="s">
        <v>33</v>
      </c>
      <c r="G61" s="12"/>
      <c r="H61" s="12"/>
    </row>
    <row r="62" spans="1:11" ht="96.75" customHeight="1">
      <c r="A62" s="1" t="s">
        <v>164</v>
      </c>
      <c r="B62" s="18">
        <v>2125</v>
      </c>
      <c r="C62" s="12" t="s">
        <v>33</v>
      </c>
      <c r="D62" s="12" t="s">
        <v>33</v>
      </c>
      <c r="E62" s="161" t="s">
        <v>33</v>
      </c>
      <c r="F62" s="12" t="s">
        <v>33</v>
      </c>
      <c r="G62" s="12"/>
      <c r="H62" s="12"/>
    </row>
    <row r="63" spans="1:11" ht="31.5" customHeight="1">
      <c r="A63" s="1" t="s">
        <v>68</v>
      </c>
      <c r="B63" s="18">
        <v>2126</v>
      </c>
      <c r="C63" s="12" t="s">
        <v>33</v>
      </c>
      <c r="D63" s="12" t="s">
        <v>33</v>
      </c>
      <c r="E63" s="161" t="s">
        <v>33</v>
      </c>
      <c r="F63" s="12" t="s">
        <v>33</v>
      </c>
      <c r="G63" s="12"/>
      <c r="H63" s="12"/>
    </row>
    <row r="64" spans="1:11" ht="48" customHeight="1">
      <c r="A64" s="14" t="s">
        <v>88</v>
      </c>
      <c r="B64" s="17">
        <v>2130</v>
      </c>
      <c r="C64" s="10">
        <f t="shared" ref="C64:D64" si="20">SUM(C65:C67)</f>
        <v>-7503.5</v>
      </c>
      <c r="D64" s="10">
        <f t="shared" si="20"/>
        <v>-9074.8000000000011</v>
      </c>
      <c r="E64" s="109">
        <f>SUM(E65:E67)</f>
        <v>-9629.4</v>
      </c>
      <c r="F64" s="10">
        <f t="shared" ref="F64" si="21">SUM(F65:F67)</f>
        <v>-9074.8000000000011</v>
      </c>
      <c r="G64" s="10">
        <f>F64-E64</f>
        <v>554.59999999999854</v>
      </c>
      <c r="H64" s="10">
        <f t="shared" si="19"/>
        <v>94.240554967080001</v>
      </c>
    </row>
    <row r="65" spans="1:8" ht="33" customHeight="1">
      <c r="A65" s="234" t="s">
        <v>69</v>
      </c>
      <c r="B65" s="233">
        <v>2131</v>
      </c>
      <c r="C65" s="12" t="s">
        <v>33</v>
      </c>
      <c r="D65" s="12" t="s">
        <v>33</v>
      </c>
      <c r="E65" s="161" t="s">
        <v>33</v>
      </c>
      <c r="F65" s="12" t="s">
        <v>33</v>
      </c>
      <c r="G65" s="235"/>
      <c r="H65" s="235"/>
    </row>
    <row r="66" spans="1:8" ht="44.25" customHeight="1">
      <c r="A66" s="234" t="s">
        <v>70</v>
      </c>
      <c r="B66" s="233">
        <v>2132</v>
      </c>
      <c r="C66" s="12">
        <v>-7221.4</v>
      </c>
      <c r="D66" s="12">
        <v>-8726.2000000000007</v>
      </c>
      <c r="E66" s="161">
        <v>-9262.9</v>
      </c>
      <c r="F66" s="12">
        <v>-8726.2000000000007</v>
      </c>
      <c r="G66" s="235">
        <f>F66-E66</f>
        <v>536.69999999999891</v>
      </c>
      <c r="H66" s="235">
        <f t="shared" si="19"/>
        <v>94.205918232950808</v>
      </c>
    </row>
    <row r="67" spans="1:8" ht="39.75" customHeight="1">
      <c r="A67" s="234" t="s">
        <v>330</v>
      </c>
      <c r="B67" s="233">
        <v>2133</v>
      </c>
      <c r="C67" s="12">
        <v>-282.10000000000002</v>
      </c>
      <c r="D67" s="12">
        <v>-348.6</v>
      </c>
      <c r="E67" s="161">
        <v>-366.5</v>
      </c>
      <c r="F67" s="12">
        <v>-348.6</v>
      </c>
      <c r="G67" s="235">
        <f t="shared" ref="G67:G68" si="22">F67-E67</f>
        <v>17.899999999999977</v>
      </c>
      <c r="H67" s="235">
        <f t="shared" si="19"/>
        <v>95.115961800818553</v>
      </c>
    </row>
    <row r="68" spans="1:8" ht="30.75" customHeight="1">
      <c r="A68" s="236" t="s">
        <v>84</v>
      </c>
      <c r="B68" s="237">
        <v>2200</v>
      </c>
      <c r="C68" s="10">
        <f>SUM(C52+C57+C64)</f>
        <v>-14051.5</v>
      </c>
      <c r="D68" s="10">
        <f>SUM(D52+D57+D64)</f>
        <v>-17128.7</v>
      </c>
      <c r="E68" s="74">
        <f>SUM(E52+E57+E64)</f>
        <v>-17963.5</v>
      </c>
      <c r="F68" s="74">
        <f>SUM(F52+F57+F64)</f>
        <v>-17128.7</v>
      </c>
      <c r="G68" s="238">
        <f t="shared" si="22"/>
        <v>834.79999999999927</v>
      </c>
      <c r="H68" s="238">
        <f t="shared" si="19"/>
        <v>95.352798730759602</v>
      </c>
    </row>
    <row r="69" spans="1:8" ht="24.95" customHeight="1">
      <c r="A69" s="484" t="s">
        <v>139</v>
      </c>
      <c r="B69" s="485"/>
      <c r="C69" s="484"/>
      <c r="D69" s="484"/>
      <c r="E69" s="484"/>
      <c r="F69" s="484"/>
      <c r="G69" s="484"/>
      <c r="H69" s="484"/>
    </row>
    <row r="70" spans="1:8" ht="46.5" customHeight="1">
      <c r="A70" s="239" t="s">
        <v>19</v>
      </c>
      <c r="B70" s="237"/>
      <c r="C70" s="420"/>
      <c r="D70" s="19"/>
      <c r="E70" s="404"/>
      <c r="F70" s="19"/>
      <c r="G70" s="240"/>
      <c r="H70" s="240"/>
    </row>
    <row r="71" spans="1:8" ht="42.75" customHeight="1">
      <c r="A71" s="241" t="s">
        <v>54</v>
      </c>
      <c r="B71" s="242">
        <v>3000</v>
      </c>
      <c r="C71" s="420">
        <f>SUM(C72:C75)</f>
        <v>52445.700000000004</v>
      </c>
      <c r="D71" s="19">
        <f>SUM(D72:D75)</f>
        <v>62753.599999999999</v>
      </c>
      <c r="E71" s="404">
        <f t="shared" ref="E71" si="23">SUM(E72:E75)</f>
        <v>63677.1</v>
      </c>
      <c r="F71" s="19">
        <f>SUM(F72:F75)</f>
        <v>62753.599999999999</v>
      </c>
      <c r="G71" s="240">
        <f>F71-E71</f>
        <v>-923.5</v>
      </c>
      <c r="H71" s="240">
        <f>(F71/E71)*100</f>
        <v>98.549714104442572</v>
      </c>
    </row>
    <row r="72" spans="1:8" ht="51.75" customHeight="1">
      <c r="A72" s="243" t="s">
        <v>78</v>
      </c>
      <c r="B72" s="232">
        <v>3010</v>
      </c>
      <c r="C72" s="421">
        <v>46520.6</v>
      </c>
      <c r="D72" s="20">
        <v>57203.6</v>
      </c>
      <c r="E72" s="422">
        <v>57657.2</v>
      </c>
      <c r="F72" s="20">
        <v>57203.6</v>
      </c>
      <c r="G72" s="240">
        <f t="shared" ref="G72:G117" si="24">F72-E72</f>
        <v>-453.59999999999854</v>
      </c>
      <c r="H72" s="244">
        <f t="shared" ref="H72:H117" si="25">(F72/E72)*100</f>
        <v>99.213281255419972</v>
      </c>
    </row>
    <row r="73" spans="1:8" ht="29.25" customHeight="1">
      <c r="A73" s="243" t="s">
        <v>79</v>
      </c>
      <c r="B73" s="232">
        <v>3020</v>
      </c>
      <c r="C73" s="421">
        <v>5807.8</v>
      </c>
      <c r="D73" s="20">
        <v>5378.3</v>
      </c>
      <c r="E73" s="422">
        <v>5810</v>
      </c>
      <c r="F73" s="20">
        <v>5378.3</v>
      </c>
      <c r="G73" s="240">
        <f t="shared" si="24"/>
        <v>-431.69999999999982</v>
      </c>
      <c r="H73" s="244">
        <f t="shared" si="25"/>
        <v>92.569707401032701</v>
      </c>
    </row>
    <row r="74" spans="1:8" ht="49.5" customHeight="1">
      <c r="A74" s="234" t="s">
        <v>91</v>
      </c>
      <c r="B74" s="232">
        <v>3030</v>
      </c>
      <c r="C74" s="421"/>
      <c r="D74" s="20"/>
      <c r="E74" s="422"/>
      <c r="F74" s="20"/>
      <c r="G74" s="240">
        <f t="shared" si="24"/>
        <v>0</v>
      </c>
      <c r="H74" s="352" t="e">
        <f t="shared" si="25"/>
        <v>#DIV/0!</v>
      </c>
    </row>
    <row r="75" spans="1:8" ht="34.5" customHeight="1">
      <c r="A75" s="234" t="s">
        <v>172</v>
      </c>
      <c r="B75" s="232">
        <v>3040</v>
      </c>
      <c r="C75" s="20">
        <v>117.3</v>
      </c>
      <c r="D75" s="20">
        <v>171.7</v>
      </c>
      <c r="E75" s="422">
        <v>209.9</v>
      </c>
      <c r="F75" s="20">
        <v>171.7</v>
      </c>
      <c r="G75" s="240">
        <f t="shared" si="24"/>
        <v>-38.200000000000017</v>
      </c>
      <c r="H75" s="244">
        <f t="shared" si="25"/>
        <v>81.800857551214861</v>
      </c>
    </row>
    <row r="76" spans="1:8" ht="45" customHeight="1">
      <c r="A76" s="241" t="s">
        <v>55</v>
      </c>
      <c r="B76" s="242">
        <v>3100</v>
      </c>
      <c r="C76" s="19">
        <f>SUM(C77:C79,C87,C88)</f>
        <v>-49505.69999999999</v>
      </c>
      <c r="D76" s="19">
        <f>SUM(D77:D79,D87,D88)</f>
        <v>-58613.2</v>
      </c>
      <c r="E76" s="404">
        <f t="shared" ref="E76" si="26">SUM(E77:E79,E87,E88)</f>
        <v>-63119.9</v>
      </c>
      <c r="F76" s="19">
        <f>SUM(F77:F79,F87,F88)</f>
        <v>-58613.2</v>
      </c>
      <c r="G76" s="240">
        <f t="shared" si="24"/>
        <v>4506.7000000000044</v>
      </c>
      <c r="H76" s="240">
        <f t="shared" si="25"/>
        <v>92.860096419671123</v>
      </c>
    </row>
    <row r="77" spans="1:8" ht="42" customHeight="1">
      <c r="A77" s="234" t="s">
        <v>56</v>
      </c>
      <c r="B77" s="232">
        <v>3110</v>
      </c>
      <c r="C77" s="20">
        <f>-8728.4+6.6-0.1</f>
        <v>-8721.9</v>
      </c>
      <c r="D77" s="20">
        <f>-8745+116.5</f>
        <v>-8628.5</v>
      </c>
      <c r="E77" s="422">
        <v>-10696.9</v>
      </c>
      <c r="F77" s="20">
        <f>D77</f>
        <v>-8628.5</v>
      </c>
      <c r="G77" s="240">
        <f t="shared" si="24"/>
        <v>2068.3999999999996</v>
      </c>
      <c r="H77" s="244">
        <f t="shared" si="25"/>
        <v>80.663556731389477</v>
      </c>
    </row>
    <row r="78" spans="1:8" ht="36.75" customHeight="1">
      <c r="A78" s="234" t="s">
        <v>57</v>
      </c>
      <c r="B78" s="232">
        <v>3120</v>
      </c>
      <c r="C78" s="20">
        <v>-26635.7</v>
      </c>
      <c r="D78" s="20">
        <v>-32766.2</v>
      </c>
      <c r="E78" s="422">
        <v>-34382.1</v>
      </c>
      <c r="F78" s="20">
        <f>D78</f>
        <v>-32766.2</v>
      </c>
      <c r="G78" s="240">
        <f t="shared" si="24"/>
        <v>1615.8999999999978</v>
      </c>
      <c r="H78" s="244">
        <f t="shared" si="25"/>
        <v>95.300170728373203</v>
      </c>
    </row>
    <row r="79" spans="1:8" ht="48.75" customHeight="1">
      <c r="A79" s="245" t="s">
        <v>58</v>
      </c>
      <c r="B79" s="246">
        <v>3130</v>
      </c>
      <c r="C79" s="338">
        <f>SUM(C80:C86)</f>
        <v>-13806.8</v>
      </c>
      <c r="D79" s="338">
        <f>SUM(D80:D86)</f>
        <v>-16795.3</v>
      </c>
      <c r="E79" s="423">
        <f t="shared" ref="E79" si="27">SUM(E80:E86)</f>
        <v>-17597</v>
      </c>
      <c r="F79" s="338">
        <f>SUM(F80:F86)</f>
        <v>-16795.3</v>
      </c>
      <c r="G79" s="471">
        <f t="shared" si="24"/>
        <v>801.70000000000073</v>
      </c>
      <c r="H79" s="247">
        <f t="shared" si="25"/>
        <v>95.444109791441718</v>
      </c>
    </row>
    <row r="80" spans="1:8" ht="30" customHeight="1">
      <c r="A80" s="234" t="s">
        <v>59</v>
      </c>
      <c r="B80" s="232">
        <v>3131</v>
      </c>
      <c r="C80" s="19"/>
      <c r="D80" s="19"/>
      <c r="E80" s="404"/>
      <c r="F80" s="19"/>
      <c r="G80" s="240">
        <f t="shared" si="24"/>
        <v>0</v>
      </c>
      <c r="H80" s="352" t="e">
        <f t="shared" si="25"/>
        <v>#DIV/0!</v>
      </c>
    </row>
    <row r="81" spans="1:10" ht="30" customHeight="1">
      <c r="A81" s="234" t="s">
        <v>60</v>
      </c>
      <c r="B81" s="232">
        <v>3132</v>
      </c>
      <c r="C81" s="19">
        <v>-12.6</v>
      </c>
      <c r="D81" s="19">
        <v>-45.4</v>
      </c>
      <c r="E81" s="404">
        <v>-2.8</v>
      </c>
      <c r="F81" s="19">
        <v>-45.4</v>
      </c>
      <c r="G81" s="240">
        <f t="shared" si="24"/>
        <v>-42.6</v>
      </c>
      <c r="H81" s="244">
        <f t="shared" si="25"/>
        <v>1621.4285714285716</v>
      </c>
    </row>
    <row r="82" spans="1:10" ht="30" customHeight="1">
      <c r="A82" s="234" t="s">
        <v>16</v>
      </c>
      <c r="B82" s="232">
        <v>3133</v>
      </c>
      <c r="C82" s="20">
        <v>-6066.4</v>
      </c>
      <c r="D82" s="20">
        <v>-7336.8</v>
      </c>
      <c r="E82" s="161">
        <v>-7689.5</v>
      </c>
      <c r="F82" s="20">
        <v>-7336.8</v>
      </c>
      <c r="G82" s="240">
        <f t="shared" si="24"/>
        <v>352.69999999999982</v>
      </c>
      <c r="H82" s="244">
        <f t="shared" si="25"/>
        <v>95.413225827427013</v>
      </c>
      <c r="J82" s="336">
        <f>F78+F82+F85+F88</f>
        <v>-40789.799999999996</v>
      </c>
    </row>
    <row r="83" spans="1:10" ht="30" customHeight="1">
      <c r="A83" s="234" t="s">
        <v>71</v>
      </c>
      <c r="B83" s="232">
        <v>3134</v>
      </c>
      <c r="C83" s="19"/>
      <c r="D83" s="19">
        <v>-74.7</v>
      </c>
      <c r="E83" s="404"/>
      <c r="F83" s="19">
        <v>-74.7</v>
      </c>
      <c r="G83" s="240">
        <f t="shared" si="24"/>
        <v>-74.7</v>
      </c>
      <c r="H83" s="352" t="e">
        <f t="shared" si="25"/>
        <v>#DIV/0!</v>
      </c>
    </row>
    <row r="84" spans="1:10" ht="30" customHeight="1">
      <c r="A84" s="234" t="s">
        <v>72</v>
      </c>
      <c r="B84" s="232">
        <v>3135</v>
      </c>
      <c r="C84" s="19"/>
      <c r="D84" s="19"/>
      <c r="E84" s="404"/>
      <c r="F84" s="19"/>
      <c r="G84" s="240">
        <f t="shared" si="24"/>
        <v>0</v>
      </c>
      <c r="H84" s="352" t="e">
        <f t="shared" si="25"/>
        <v>#DIV/0!</v>
      </c>
    </row>
    <row r="85" spans="1:10" ht="30" customHeight="1">
      <c r="A85" s="234" t="s">
        <v>89</v>
      </c>
      <c r="B85" s="232">
        <v>3136</v>
      </c>
      <c r="C85" s="20">
        <v>-506.4</v>
      </c>
      <c r="D85" s="20">
        <v>-612.20000000000005</v>
      </c>
      <c r="E85" s="161">
        <v>-641.79999999999995</v>
      </c>
      <c r="F85" s="20">
        <v>-612.20000000000005</v>
      </c>
      <c r="G85" s="240">
        <f t="shared" si="24"/>
        <v>29.599999999999909</v>
      </c>
      <c r="H85" s="244">
        <f t="shared" si="25"/>
        <v>95.38797133063261</v>
      </c>
    </row>
    <row r="86" spans="1:10" ht="42" customHeight="1">
      <c r="A86" s="234" t="s">
        <v>90</v>
      </c>
      <c r="B86" s="232">
        <v>3137</v>
      </c>
      <c r="C86" s="20">
        <v>-7221.4</v>
      </c>
      <c r="D86" s="20">
        <v>-8726.2000000000007</v>
      </c>
      <c r="E86" s="161">
        <v>-9262.9</v>
      </c>
      <c r="F86" s="20">
        <v>-8726.2000000000007</v>
      </c>
      <c r="G86" s="240">
        <f t="shared" si="24"/>
        <v>536.69999999999891</v>
      </c>
      <c r="H86" s="244">
        <f t="shared" si="25"/>
        <v>94.205918232950808</v>
      </c>
    </row>
    <row r="87" spans="1:10" ht="30.75" customHeight="1">
      <c r="A87" s="234" t="s">
        <v>417</v>
      </c>
      <c r="B87" s="232">
        <v>3138</v>
      </c>
      <c r="C87" s="20">
        <v>-282.10000000000002</v>
      </c>
      <c r="D87" s="20">
        <v>-348.6</v>
      </c>
      <c r="E87" s="422">
        <v>-366.5</v>
      </c>
      <c r="F87" s="20">
        <v>-348.6</v>
      </c>
      <c r="G87" s="240">
        <f t="shared" si="24"/>
        <v>17.899999999999977</v>
      </c>
      <c r="H87" s="352">
        <f t="shared" si="25"/>
        <v>95.115961800818553</v>
      </c>
    </row>
    <row r="88" spans="1:10" ht="27.75" customHeight="1">
      <c r="A88" s="243" t="s">
        <v>418</v>
      </c>
      <c r="B88" s="232">
        <v>3139</v>
      </c>
      <c r="C88" s="20">
        <v>-59.2</v>
      </c>
      <c r="D88" s="20">
        <v>-74.599999999999994</v>
      </c>
      <c r="E88" s="161">
        <v>-77.400000000000006</v>
      </c>
      <c r="F88" s="20">
        <v>-74.599999999999994</v>
      </c>
      <c r="G88" s="240">
        <f t="shared" si="24"/>
        <v>2.8000000000000114</v>
      </c>
      <c r="H88" s="244">
        <f t="shared" si="25"/>
        <v>96.38242894056846</v>
      </c>
    </row>
    <row r="89" spans="1:10" ht="51" customHeight="1">
      <c r="A89" s="248" t="s">
        <v>37</v>
      </c>
      <c r="B89" s="249">
        <v>3160</v>
      </c>
      <c r="C89" s="339">
        <f>SUM(C71,C76)</f>
        <v>2940.0000000000146</v>
      </c>
      <c r="D89" s="339">
        <f>SUM(D71,D76)</f>
        <v>4140.4000000000015</v>
      </c>
      <c r="E89" s="424">
        <f t="shared" ref="E89" si="28">SUM(E71,E76)</f>
        <v>557.19999999999709</v>
      </c>
      <c r="F89" s="339">
        <f>SUM(F71,F76)</f>
        <v>4140.4000000000015</v>
      </c>
      <c r="G89" s="240">
        <f t="shared" si="24"/>
        <v>3583.2000000000044</v>
      </c>
      <c r="H89" s="240">
        <f t="shared" si="25"/>
        <v>743.07250538406731</v>
      </c>
    </row>
    <row r="90" spans="1:10" ht="46.5" customHeight="1">
      <c r="A90" s="250" t="s">
        <v>20</v>
      </c>
      <c r="B90" s="251"/>
      <c r="C90" s="340"/>
      <c r="D90" s="340"/>
      <c r="E90" s="425"/>
      <c r="F90" s="340"/>
      <c r="G90" s="240"/>
      <c r="H90" s="240"/>
    </row>
    <row r="91" spans="1:10" ht="43.5" customHeight="1">
      <c r="A91" s="248" t="s">
        <v>61</v>
      </c>
      <c r="B91" s="249">
        <v>3200</v>
      </c>
      <c r="C91" s="339">
        <f t="shared" ref="C91:F91" si="29">C92</f>
        <v>0</v>
      </c>
      <c r="D91" s="339">
        <f t="shared" si="29"/>
        <v>0</v>
      </c>
      <c r="E91" s="424">
        <f t="shared" si="29"/>
        <v>200</v>
      </c>
      <c r="F91" s="339">
        <f t="shared" si="29"/>
        <v>0</v>
      </c>
      <c r="G91" s="240">
        <f t="shared" si="24"/>
        <v>-200</v>
      </c>
      <c r="H91" s="351">
        <f t="shared" si="25"/>
        <v>0</v>
      </c>
    </row>
    <row r="92" spans="1:10" ht="31.5" customHeight="1">
      <c r="A92" s="252" t="s">
        <v>430</v>
      </c>
      <c r="B92" s="251">
        <v>3210</v>
      </c>
      <c r="C92" s="340"/>
      <c r="D92" s="340"/>
      <c r="E92" s="425">
        <v>200</v>
      </c>
      <c r="F92" s="340"/>
      <c r="G92" s="240">
        <f t="shared" si="24"/>
        <v>-200</v>
      </c>
      <c r="H92" s="352">
        <f t="shared" si="25"/>
        <v>0</v>
      </c>
    </row>
    <row r="93" spans="1:10" ht="43.5" customHeight="1">
      <c r="A93" s="248" t="s">
        <v>62</v>
      </c>
      <c r="B93" s="249">
        <v>3255</v>
      </c>
      <c r="C93" s="339">
        <f t="shared" ref="C93:D93" si="30">SUM(C94,C101)</f>
        <v>-1150.5</v>
      </c>
      <c r="D93" s="339">
        <f t="shared" si="30"/>
        <v>-2798.4</v>
      </c>
      <c r="E93" s="424">
        <f t="shared" ref="E93:F93" si="31">SUM(E94,E101)</f>
        <v>-7725</v>
      </c>
      <c r="F93" s="339">
        <f t="shared" si="31"/>
        <v>-2798.4</v>
      </c>
      <c r="G93" s="240">
        <f t="shared" si="24"/>
        <v>4926.6000000000004</v>
      </c>
      <c r="H93" s="240">
        <f t="shared" si="25"/>
        <v>36.225242718446601</v>
      </c>
    </row>
    <row r="94" spans="1:10" ht="50.25" customHeight="1">
      <c r="A94" s="245" t="s">
        <v>92</v>
      </c>
      <c r="B94" s="253">
        <v>3260</v>
      </c>
      <c r="C94" s="341">
        <f t="shared" ref="C94" si="32">SUM(C95:C100)</f>
        <v>-1150.5</v>
      </c>
      <c r="D94" s="341">
        <f t="shared" ref="D94" si="33">SUM(D95:D100)</f>
        <v>-2798.4</v>
      </c>
      <c r="E94" s="426">
        <f t="shared" ref="E94" si="34">SUM(E95:E100)</f>
        <v>-7725</v>
      </c>
      <c r="F94" s="341">
        <f t="shared" ref="F94" si="35">SUM(F95:F100)</f>
        <v>-2798.4</v>
      </c>
      <c r="G94" s="240">
        <f t="shared" si="24"/>
        <v>4926.6000000000004</v>
      </c>
      <c r="H94" s="247">
        <f t="shared" si="25"/>
        <v>36.225242718446601</v>
      </c>
    </row>
    <row r="95" spans="1:10" ht="36.75" customHeight="1">
      <c r="A95" s="254" t="s">
        <v>93</v>
      </c>
      <c r="B95" s="251">
        <v>3265</v>
      </c>
      <c r="C95" s="340"/>
      <c r="D95" s="340"/>
      <c r="E95" s="425"/>
      <c r="F95" s="340"/>
      <c r="G95" s="240">
        <f t="shared" si="24"/>
        <v>0</v>
      </c>
      <c r="H95" s="352" t="e">
        <f t="shared" si="25"/>
        <v>#DIV/0!</v>
      </c>
    </row>
    <row r="96" spans="1:10" ht="51" customHeight="1">
      <c r="A96" s="234" t="s">
        <v>173</v>
      </c>
      <c r="B96" s="251">
        <v>3266</v>
      </c>
      <c r="C96" s="340">
        <v>-842</v>
      </c>
      <c r="D96" s="340">
        <v>-298.39999999999998</v>
      </c>
      <c r="E96" s="425">
        <v>-3400</v>
      </c>
      <c r="F96" s="340">
        <v>-298.39999999999998</v>
      </c>
      <c r="G96" s="240">
        <f t="shared" si="24"/>
        <v>3101.6</v>
      </c>
      <c r="H96" s="244">
        <f t="shared" si="25"/>
        <v>8.7764705882352931</v>
      </c>
    </row>
    <row r="97" spans="1:8" ht="51" customHeight="1">
      <c r="A97" s="234" t="s">
        <v>7</v>
      </c>
      <c r="B97" s="251">
        <v>3267</v>
      </c>
      <c r="C97" s="340">
        <v>-280.5</v>
      </c>
      <c r="D97" s="340">
        <v>-198.7</v>
      </c>
      <c r="E97" s="425">
        <v>-1230</v>
      </c>
      <c r="F97" s="340">
        <v>-198.7</v>
      </c>
      <c r="G97" s="240">
        <f t="shared" si="24"/>
        <v>1031.3</v>
      </c>
      <c r="H97" s="244">
        <f t="shared" si="25"/>
        <v>16.154471544715445</v>
      </c>
    </row>
    <row r="98" spans="1:8" ht="46.5" customHeight="1">
      <c r="A98" s="234" t="s">
        <v>174</v>
      </c>
      <c r="B98" s="350">
        <v>3268</v>
      </c>
      <c r="C98" s="20">
        <v>-28</v>
      </c>
      <c r="D98" s="20">
        <v>0</v>
      </c>
      <c r="E98" s="422">
        <v>-395</v>
      </c>
      <c r="F98" s="20">
        <v>0</v>
      </c>
      <c r="G98" s="240">
        <f t="shared" si="24"/>
        <v>395</v>
      </c>
      <c r="H98" s="244">
        <f t="shared" si="25"/>
        <v>0</v>
      </c>
    </row>
    <row r="99" spans="1:8" ht="61.5" customHeight="1">
      <c r="A99" s="234" t="s">
        <v>94</v>
      </c>
      <c r="B99" s="251">
        <v>3269</v>
      </c>
      <c r="C99" s="340"/>
      <c r="D99" s="340"/>
      <c r="E99" s="425"/>
      <c r="F99" s="340"/>
      <c r="G99" s="351">
        <f t="shared" si="24"/>
        <v>0</v>
      </c>
      <c r="H99" s="352" t="e">
        <f t="shared" si="25"/>
        <v>#DIV/0!</v>
      </c>
    </row>
    <row r="100" spans="1:8" ht="37.5" customHeight="1">
      <c r="A100" s="234" t="s">
        <v>95</v>
      </c>
      <c r="B100" s="251">
        <v>3270</v>
      </c>
      <c r="C100" s="340" t="s">
        <v>388</v>
      </c>
      <c r="D100" s="340">
        <v>-2301.3000000000002</v>
      </c>
      <c r="E100" s="425">
        <v>-2700</v>
      </c>
      <c r="F100" s="340">
        <v>-2301.3000000000002</v>
      </c>
      <c r="G100" s="240">
        <f t="shared" si="24"/>
        <v>398.69999999999982</v>
      </c>
      <c r="H100" s="244">
        <f t="shared" si="25"/>
        <v>85.233333333333334</v>
      </c>
    </row>
    <row r="101" spans="1:8" ht="35.25" customHeight="1">
      <c r="A101" s="234" t="s">
        <v>77</v>
      </c>
      <c r="B101" s="251">
        <v>3280</v>
      </c>
      <c r="C101" s="340"/>
      <c r="D101" s="340"/>
      <c r="E101" s="425"/>
      <c r="F101" s="340"/>
      <c r="G101" s="240">
        <f t="shared" si="24"/>
        <v>0</v>
      </c>
      <c r="H101" s="352" t="e">
        <f t="shared" si="25"/>
        <v>#DIV/0!</v>
      </c>
    </row>
    <row r="102" spans="1:8" ht="47.25" customHeight="1">
      <c r="A102" s="255" t="s">
        <v>21</v>
      </c>
      <c r="B102" s="249">
        <v>3295</v>
      </c>
      <c r="C102" s="339">
        <f t="shared" ref="C102" si="36">SUM(C91,C93)</f>
        <v>-1150.5</v>
      </c>
      <c r="D102" s="339">
        <f t="shared" ref="D102:F102" si="37">SUM(D91,D93)</f>
        <v>-2798.4</v>
      </c>
      <c r="E102" s="424">
        <f>SUM(E91,E93)</f>
        <v>-7525</v>
      </c>
      <c r="F102" s="339">
        <f t="shared" si="37"/>
        <v>-2798.4</v>
      </c>
      <c r="G102" s="240">
        <f t="shared" si="24"/>
        <v>4726.6000000000004</v>
      </c>
      <c r="H102" s="240">
        <f t="shared" si="25"/>
        <v>37.188039867109637</v>
      </c>
    </row>
    <row r="103" spans="1:8" ht="45" customHeight="1">
      <c r="A103" s="237" t="s">
        <v>22</v>
      </c>
      <c r="B103" s="249"/>
      <c r="C103" s="339"/>
      <c r="D103" s="339"/>
      <c r="E103" s="424"/>
      <c r="F103" s="339"/>
      <c r="G103" s="240"/>
      <c r="H103" s="240"/>
    </row>
    <row r="104" spans="1:8" ht="45" customHeight="1">
      <c r="A104" s="255" t="s">
        <v>63</v>
      </c>
      <c r="B104" s="249">
        <v>3300</v>
      </c>
      <c r="C104" s="339">
        <f t="shared" ref="C104" si="38">SUM(C105:C108)</f>
        <v>255.4</v>
      </c>
      <c r="D104" s="339">
        <f t="shared" ref="D104" si="39">SUM(D105:D108)</f>
        <v>840.9</v>
      </c>
      <c r="E104" s="424">
        <f t="shared" ref="E104:F104" si="40">SUM(E105:E108)</f>
        <v>320</v>
      </c>
      <c r="F104" s="339">
        <f t="shared" si="40"/>
        <v>840.9</v>
      </c>
      <c r="G104" s="240">
        <f t="shared" si="24"/>
        <v>520.9</v>
      </c>
      <c r="H104" s="240">
        <f t="shared" si="25"/>
        <v>262.78125</v>
      </c>
    </row>
    <row r="105" spans="1:8" ht="27.75" customHeight="1">
      <c r="A105" s="234" t="s">
        <v>64</v>
      </c>
      <c r="B105" s="251">
        <v>3310</v>
      </c>
      <c r="C105" s="340"/>
      <c r="D105" s="340"/>
      <c r="E105" s="425"/>
      <c r="F105" s="340"/>
      <c r="G105" s="240">
        <f t="shared" si="24"/>
        <v>0</v>
      </c>
      <c r="H105" s="352" t="e">
        <f t="shared" si="25"/>
        <v>#DIV/0!</v>
      </c>
    </row>
    <row r="106" spans="1:8" ht="45" customHeight="1">
      <c r="A106" s="234" t="s">
        <v>152</v>
      </c>
      <c r="B106" s="251">
        <v>3320</v>
      </c>
      <c r="C106" s="340">
        <v>255.4</v>
      </c>
      <c r="D106" s="340">
        <v>840.9</v>
      </c>
      <c r="E106" s="425">
        <v>320</v>
      </c>
      <c r="F106" s="340">
        <v>840.9</v>
      </c>
      <c r="G106" s="240">
        <f t="shared" si="24"/>
        <v>520.9</v>
      </c>
      <c r="H106" s="244">
        <f t="shared" si="25"/>
        <v>262.78125</v>
      </c>
    </row>
    <row r="107" spans="1:8" ht="44.25" customHeight="1">
      <c r="A107" s="234" t="s">
        <v>96</v>
      </c>
      <c r="B107" s="251">
        <v>3330</v>
      </c>
      <c r="C107" s="340"/>
      <c r="D107" s="340"/>
      <c r="E107" s="425"/>
      <c r="F107" s="340"/>
      <c r="G107" s="240">
        <f t="shared" si="24"/>
        <v>0</v>
      </c>
      <c r="H107" s="352" t="e">
        <f t="shared" si="25"/>
        <v>#DIV/0!</v>
      </c>
    </row>
    <row r="108" spans="1:8" ht="27.75" customHeight="1">
      <c r="A108" s="234" t="s">
        <v>172</v>
      </c>
      <c r="B108" s="251">
        <v>3340</v>
      </c>
      <c r="C108" s="340"/>
      <c r="D108" s="340"/>
      <c r="E108" s="425"/>
      <c r="F108" s="340"/>
      <c r="G108" s="240">
        <f t="shared" si="24"/>
        <v>0</v>
      </c>
      <c r="H108" s="352" t="e">
        <f t="shared" si="25"/>
        <v>#DIV/0!</v>
      </c>
    </row>
    <row r="109" spans="1:8" ht="47.25" customHeight="1">
      <c r="A109" s="256" t="s">
        <v>65</v>
      </c>
      <c r="B109" s="249">
        <v>3345</v>
      </c>
      <c r="C109" s="339">
        <f t="shared" ref="C109" si="41">SUM(C110:C113)</f>
        <v>0</v>
      </c>
      <c r="D109" s="339">
        <f t="shared" ref="D109" si="42">SUM(D110:D113)</f>
        <v>0</v>
      </c>
      <c r="E109" s="424">
        <f t="shared" ref="E109:F109" si="43">SUM(E110:E113)</f>
        <v>0</v>
      </c>
      <c r="F109" s="339">
        <f t="shared" si="43"/>
        <v>0</v>
      </c>
      <c r="G109" s="240">
        <f t="shared" si="24"/>
        <v>0</v>
      </c>
      <c r="H109" s="351" t="e">
        <f t="shared" si="25"/>
        <v>#DIV/0!</v>
      </c>
    </row>
    <row r="110" spans="1:8" ht="48" customHeight="1">
      <c r="A110" s="234" t="s">
        <v>151</v>
      </c>
      <c r="B110" s="251">
        <v>3350</v>
      </c>
      <c r="C110" s="339"/>
      <c r="D110" s="339"/>
      <c r="E110" s="424"/>
      <c r="F110" s="339"/>
      <c r="G110" s="240">
        <f t="shared" si="24"/>
        <v>0</v>
      </c>
      <c r="H110" s="352" t="e">
        <f t="shared" si="25"/>
        <v>#DIV/0!</v>
      </c>
    </row>
    <row r="111" spans="1:8" ht="30.75" customHeight="1">
      <c r="A111" s="234" t="s">
        <v>97</v>
      </c>
      <c r="B111" s="251">
        <v>3355</v>
      </c>
      <c r="C111" s="339"/>
      <c r="D111" s="339"/>
      <c r="E111" s="424"/>
      <c r="F111" s="339"/>
      <c r="G111" s="240">
        <f t="shared" si="24"/>
        <v>0</v>
      </c>
      <c r="H111" s="352" t="e">
        <f t="shared" si="25"/>
        <v>#DIV/0!</v>
      </c>
    </row>
    <row r="112" spans="1:8" ht="45" customHeight="1">
      <c r="A112" s="234" t="s">
        <v>98</v>
      </c>
      <c r="B112" s="350">
        <v>3360</v>
      </c>
      <c r="C112" s="19"/>
      <c r="D112" s="19"/>
      <c r="E112" s="404"/>
      <c r="F112" s="19"/>
      <c r="G112" s="240">
        <f t="shared" si="24"/>
        <v>0</v>
      </c>
      <c r="H112" s="352" t="e">
        <f t="shared" si="25"/>
        <v>#DIV/0!</v>
      </c>
    </row>
    <row r="113" spans="1:8" ht="33" customHeight="1">
      <c r="A113" s="234" t="s">
        <v>77</v>
      </c>
      <c r="B113" s="251">
        <v>3365</v>
      </c>
      <c r="C113" s="339"/>
      <c r="D113" s="339"/>
      <c r="E113" s="424"/>
      <c r="F113" s="339"/>
      <c r="G113" s="240">
        <f t="shared" si="24"/>
        <v>0</v>
      </c>
      <c r="H113" s="352" t="e">
        <f t="shared" si="25"/>
        <v>#DIV/0!</v>
      </c>
    </row>
    <row r="114" spans="1:8" ht="40.5" customHeight="1">
      <c r="A114" s="256" t="s">
        <v>23</v>
      </c>
      <c r="B114" s="249">
        <v>3370</v>
      </c>
      <c r="C114" s="339">
        <f t="shared" ref="C114:D114" si="44">SUM(C104,C109)</f>
        <v>255.4</v>
      </c>
      <c r="D114" s="339">
        <f t="shared" si="44"/>
        <v>840.9</v>
      </c>
      <c r="E114" s="424">
        <f t="shared" ref="E114:F114" si="45">SUM(E104,E109)</f>
        <v>320</v>
      </c>
      <c r="F114" s="339">
        <f t="shared" si="45"/>
        <v>840.9</v>
      </c>
      <c r="G114" s="240">
        <f t="shared" si="24"/>
        <v>520.9</v>
      </c>
      <c r="H114" s="240">
        <f t="shared" si="25"/>
        <v>262.78125</v>
      </c>
    </row>
    <row r="115" spans="1:8" ht="30.75" customHeight="1">
      <c r="A115" s="256" t="s">
        <v>8</v>
      </c>
      <c r="B115" s="249">
        <v>3400</v>
      </c>
      <c r="C115" s="339">
        <f>SUM(C89,C102,C114)</f>
        <v>2044.9000000000146</v>
      </c>
      <c r="D115" s="339">
        <f>SUM(D89,D102,D114)</f>
        <v>2182.9000000000015</v>
      </c>
      <c r="E115" s="424">
        <f t="shared" ref="E115" si="46">SUM(E89,E102,E114)</f>
        <v>-6647.8000000000029</v>
      </c>
      <c r="F115" s="339">
        <f>SUM(F89,F102,F114)</f>
        <v>2182.9000000000015</v>
      </c>
      <c r="G115" s="240">
        <f t="shared" si="24"/>
        <v>8830.7000000000044</v>
      </c>
      <c r="H115" s="240">
        <f t="shared" si="25"/>
        <v>-32.836427088660919</v>
      </c>
    </row>
    <row r="116" spans="1:8" ht="30.75" customHeight="1">
      <c r="A116" s="234" t="s">
        <v>99</v>
      </c>
      <c r="B116" s="251">
        <v>3405</v>
      </c>
      <c r="C116" s="339">
        <v>6468.4</v>
      </c>
      <c r="D116" s="339">
        <v>8513.2999999999993</v>
      </c>
      <c r="E116" s="424">
        <v>8513.2999999999993</v>
      </c>
      <c r="F116" s="339">
        <v>8513.2999999999993</v>
      </c>
      <c r="G116" s="240">
        <f t="shared" si="24"/>
        <v>0</v>
      </c>
      <c r="H116" s="244">
        <f t="shared" si="25"/>
        <v>100</v>
      </c>
    </row>
    <row r="117" spans="1:8" ht="30.75" customHeight="1">
      <c r="A117" s="255" t="s">
        <v>100</v>
      </c>
      <c r="B117" s="237">
        <v>3415</v>
      </c>
      <c r="C117" s="19">
        <f>SUM(C116,C115)</f>
        <v>8513.3000000000138</v>
      </c>
      <c r="D117" s="19">
        <f>SUM(D116,D115)</f>
        <v>10696.2</v>
      </c>
      <c r="E117" s="404">
        <f t="shared" ref="E117" si="47">SUM(E116,E115)</f>
        <v>1865.4999999999964</v>
      </c>
      <c r="F117" s="19">
        <f>SUM(F116,F115)</f>
        <v>10696.2</v>
      </c>
      <c r="G117" s="240">
        <f t="shared" si="24"/>
        <v>8830.7000000000044</v>
      </c>
      <c r="H117" s="240">
        <f t="shared" si="25"/>
        <v>573.3690699544369</v>
      </c>
    </row>
    <row r="118" spans="1:8" ht="24.95" customHeight="1">
      <c r="A118" s="487" t="s">
        <v>140</v>
      </c>
      <c r="B118" s="488"/>
      <c r="C118" s="488"/>
      <c r="D118" s="488"/>
      <c r="E118" s="488"/>
      <c r="F118" s="488"/>
      <c r="G118" s="488"/>
      <c r="H118" s="488"/>
    </row>
    <row r="119" spans="1:8" ht="27.75" customHeight="1">
      <c r="A119" s="257" t="s">
        <v>25</v>
      </c>
      <c r="B119" s="242">
        <v>4000</v>
      </c>
      <c r="C119" s="10">
        <f>SUM(C120:C126)</f>
        <v>-1181.7</v>
      </c>
      <c r="D119" s="10">
        <f>SUM(D120:D126)</f>
        <v>-4746.5</v>
      </c>
      <c r="E119" s="74">
        <f t="shared" ref="E119" si="48">SUM(E120:E126)</f>
        <v>-7191.7</v>
      </c>
      <c r="F119" s="10">
        <f>SUM(F120:F126)</f>
        <v>-4746.5</v>
      </c>
      <c r="G119" s="238">
        <f>F119-E119</f>
        <v>2445.1999999999998</v>
      </c>
      <c r="H119" s="238">
        <f>(F119/E119)*100</f>
        <v>65.999694091800279</v>
      </c>
    </row>
    <row r="120" spans="1:8" ht="37.5" customHeight="1">
      <c r="A120" s="258" t="s">
        <v>93</v>
      </c>
      <c r="B120" s="232">
        <v>4010</v>
      </c>
      <c r="C120" s="12" t="s">
        <v>33</v>
      </c>
      <c r="D120" s="12" t="s">
        <v>33</v>
      </c>
      <c r="E120" s="161" t="s">
        <v>33</v>
      </c>
      <c r="F120" s="12" t="s">
        <v>33</v>
      </c>
      <c r="G120" s="235"/>
      <c r="H120" s="235"/>
    </row>
    <row r="121" spans="1:8" ht="48.75" customHeight="1">
      <c r="A121" s="259" t="s">
        <v>173</v>
      </c>
      <c r="B121" s="232">
        <v>4020</v>
      </c>
      <c r="C121" s="12">
        <v>-873.1</v>
      </c>
      <c r="D121" s="12">
        <v>-2223.5</v>
      </c>
      <c r="E121" s="425">
        <v>-2866.7</v>
      </c>
      <c r="F121" s="12">
        <v>-2223.5</v>
      </c>
      <c r="G121" s="235">
        <f t="shared" ref="G121:G125" si="49">F121-E121</f>
        <v>643.19999999999982</v>
      </c>
      <c r="H121" s="235">
        <f t="shared" ref="H121:H123" si="50">(F121/E121)*100</f>
        <v>77.563051592423349</v>
      </c>
    </row>
    <row r="122" spans="1:8" ht="48.75" customHeight="1">
      <c r="A122" s="259" t="s">
        <v>106</v>
      </c>
      <c r="B122" s="232">
        <v>4030</v>
      </c>
      <c r="C122" s="12">
        <v>-280.60000000000002</v>
      </c>
      <c r="D122" s="12">
        <v>-221.7</v>
      </c>
      <c r="E122" s="425">
        <v>-1230</v>
      </c>
      <c r="F122" s="12">
        <v>-221.7</v>
      </c>
      <c r="G122" s="235">
        <f t="shared" si="49"/>
        <v>1008.3</v>
      </c>
      <c r="H122" s="235">
        <f t="shared" si="50"/>
        <v>18.024390243902438</v>
      </c>
    </row>
    <row r="123" spans="1:8" ht="49.5" customHeight="1">
      <c r="A123" s="259" t="s">
        <v>174</v>
      </c>
      <c r="B123" s="232">
        <v>4040</v>
      </c>
      <c r="C123" s="12">
        <v>-28</v>
      </c>
      <c r="D123" s="12"/>
      <c r="E123" s="425">
        <v>-395</v>
      </c>
      <c r="F123" s="12"/>
      <c r="G123" s="235">
        <f t="shared" si="49"/>
        <v>395</v>
      </c>
      <c r="H123" s="235">
        <f t="shared" si="50"/>
        <v>0</v>
      </c>
    </row>
    <row r="124" spans="1:8" ht="73.5" customHeight="1">
      <c r="A124" s="234" t="s">
        <v>94</v>
      </c>
      <c r="B124" s="466">
        <v>4050</v>
      </c>
      <c r="C124" s="12" t="s">
        <v>33</v>
      </c>
      <c r="D124" s="12" t="s">
        <v>33</v>
      </c>
      <c r="E124" s="161" t="s">
        <v>33</v>
      </c>
      <c r="F124" s="12" t="s">
        <v>33</v>
      </c>
      <c r="G124" s="235"/>
      <c r="H124" s="235"/>
    </row>
    <row r="125" spans="1:8" ht="36.75" customHeight="1">
      <c r="A125" s="234" t="s">
        <v>95</v>
      </c>
      <c r="B125" s="466">
        <v>4060</v>
      </c>
      <c r="C125" s="12"/>
      <c r="D125" s="12">
        <v>-2301.3000000000002</v>
      </c>
      <c r="E125" s="422">
        <v>-2700</v>
      </c>
      <c r="F125" s="12">
        <v>-2301.3000000000002</v>
      </c>
      <c r="G125" s="235">
        <f t="shared" si="49"/>
        <v>398.69999999999982</v>
      </c>
      <c r="H125" s="235"/>
    </row>
    <row r="126" spans="1:8" ht="39.75" customHeight="1">
      <c r="A126" s="1" t="s">
        <v>77</v>
      </c>
      <c r="B126" s="11">
        <v>4070</v>
      </c>
      <c r="C126" s="12" t="s">
        <v>33</v>
      </c>
      <c r="D126" s="12" t="s">
        <v>33</v>
      </c>
      <c r="E126" s="161" t="s">
        <v>33</v>
      </c>
      <c r="F126" s="12" t="s">
        <v>33</v>
      </c>
      <c r="G126" s="12"/>
      <c r="H126" s="12"/>
    </row>
    <row r="127" spans="1:8" s="22" customFormat="1" ht="29.25" customHeight="1">
      <c r="A127" s="486" t="s">
        <v>141</v>
      </c>
      <c r="B127" s="486"/>
      <c r="C127" s="486"/>
      <c r="D127" s="486"/>
      <c r="E127" s="486"/>
      <c r="F127" s="486"/>
      <c r="G127" s="486"/>
      <c r="H127" s="486"/>
    </row>
    <row r="128" spans="1:8" ht="48.75" customHeight="1">
      <c r="A128" s="8" t="s">
        <v>66</v>
      </c>
      <c r="B128" s="9" t="s">
        <v>38</v>
      </c>
      <c r="C128" s="10">
        <f>SUM(C129:C131)</f>
        <v>0</v>
      </c>
      <c r="D128" s="10">
        <f t="shared" ref="D128:F128" si="51">SUM(D129:D131)</f>
        <v>0</v>
      </c>
      <c r="E128" s="10">
        <f t="shared" si="51"/>
        <v>0</v>
      </c>
      <c r="F128" s="10">
        <f t="shared" si="51"/>
        <v>0</v>
      </c>
      <c r="G128" s="10">
        <f>F128-E128</f>
        <v>0</v>
      </c>
      <c r="H128" s="10"/>
    </row>
    <row r="129" spans="1:8" ht="36.75" customHeight="1">
      <c r="A129" s="13" t="s">
        <v>107</v>
      </c>
      <c r="B129" s="11" t="s">
        <v>39</v>
      </c>
      <c r="C129" s="12"/>
      <c r="D129" s="12"/>
      <c r="E129" s="12"/>
      <c r="F129" s="12"/>
      <c r="G129" s="12">
        <f t="shared" ref="G129:G135" si="52">F129-E129</f>
        <v>0</v>
      </c>
      <c r="H129" s="12"/>
    </row>
    <row r="130" spans="1:8" ht="34.5" customHeight="1">
      <c r="A130" s="13" t="s">
        <v>108</v>
      </c>
      <c r="B130" s="11" t="s">
        <v>40</v>
      </c>
      <c r="C130" s="12"/>
      <c r="D130" s="12"/>
      <c r="E130" s="12"/>
      <c r="F130" s="12"/>
      <c r="G130" s="12">
        <f t="shared" si="52"/>
        <v>0</v>
      </c>
      <c r="H130" s="12"/>
    </row>
    <row r="131" spans="1:8" ht="35.25" customHeight="1">
      <c r="A131" s="13" t="s">
        <v>109</v>
      </c>
      <c r="B131" s="11" t="s">
        <v>41</v>
      </c>
      <c r="C131" s="12"/>
      <c r="D131" s="12"/>
      <c r="E131" s="12"/>
      <c r="F131" s="12"/>
      <c r="G131" s="12">
        <f t="shared" si="52"/>
        <v>0</v>
      </c>
      <c r="H131" s="12"/>
    </row>
    <row r="132" spans="1:8" ht="46.5" customHeight="1">
      <c r="A132" s="8" t="s">
        <v>67</v>
      </c>
      <c r="B132" s="9" t="s">
        <v>42</v>
      </c>
      <c r="C132" s="10">
        <f>SUM(C133:C135)</f>
        <v>0</v>
      </c>
      <c r="D132" s="10">
        <f t="shared" ref="D132:F132" si="53">SUM(D133:D135)</f>
        <v>0</v>
      </c>
      <c r="E132" s="10">
        <f t="shared" si="53"/>
        <v>0</v>
      </c>
      <c r="F132" s="10">
        <f t="shared" si="53"/>
        <v>0</v>
      </c>
      <c r="G132" s="10">
        <f t="shared" si="52"/>
        <v>0</v>
      </c>
      <c r="H132" s="10"/>
    </row>
    <row r="133" spans="1:8" ht="36.75" customHeight="1">
      <c r="A133" s="13" t="s">
        <v>107</v>
      </c>
      <c r="B133" s="11" t="s">
        <v>43</v>
      </c>
      <c r="C133" s="12"/>
      <c r="D133" s="12"/>
      <c r="E133" s="12"/>
      <c r="F133" s="12"/>
      <c r="G133" s="12">
        <f t="shared" si="52"/>
        <v>0</v>
      </c>
      <c r="H133" s="12"/>
    </row>
    <row r="134" spans="1:8" ht="36.75" customHeight="1">
      <c r="A134" s="13" t="s">
        <v>108</v>
      </c>
      <c r="B134" s="11" t="s">
        <v>44</v>
      </c>
      <c r="C134" s="12"/>
      <c r="D134" s="12"/>
      <c r="E134" s="12"/>
      <c r="F134" s="12"/>
      <c r="G134" s="12">
        <f t="shared" si="52"/>
        <v>0</v>
      </c>
      <c r="H134" s="12"/>
    </row>
    <row r="135" spans="1:8" ht="34.5" customHeight="1">
      <c r="A135" s="13" t="s">
        <v>109</v>
      </c>
      <c r="B135" s="11" t="s">
        <v>45</v>
      </c>
      <c r="C135" s="12"/>
      <c r="D135" s="12"/>
      <c r="E135" s="12"/>
      <c r="F135" s="12"/>
      <c r="G135" s="12">
        <f t="shared" si="52"/>
        <v>0</v>
      </c>
      <c r="H135" s="12"/>
    </row>
    <row r="136" spans="1:8" ht="34.5" customHeight="1">
      <c r="A136" s="486" t="s">
        <v>142</v>
      </c>
      <c r="B136" s="486"/>
      <c r="C136" s="486"/>
      <c r="D136" s="486"/>
      <c r="E136" s="486"/>
      <c r="F136" s="486"/>
      <c r="G136" s="486"/>
      <c r="H136" s="486"/>
    </row>
    <row r="137" spans="1:8" s="4" customFormat="1" ht="86.25" customHeight="1">
      <c r="A137" s="16" t="s">
        <v>175</v>
      </c>
      <c r="B137" s="23" t="s">
        <v>46</v>
      </c>
      <c r="C137" s="342">
        <f t="shared" ref="C137:D137" si="54">SUM(C138:C140)</f>
        <v>197</v>
      </c>
      <c r="D137" s="342">
        <f t="shared" si="54"/>
        <v>190</v>
      </c>
      <c r="E137" s="427">
        <f t="shared" ref="E137:F137" si="55">SUM(E138:E140)</f>
        <v>199</v>
      </c>
      <c r="F137" s="342">
        <f t="shared" si="55"/>
        <v>190</v>
      </c>
      <c r="G137" s="19">
        <f>F137-E137</f>
        <v>-9</v>
      </c>
      <c r="H137" s="19">
        <f>(F137/E137)*100</f>
        <v>95.477386934673376</v>
      </c>
    </row>
    <row r="138" spans="1:8" ht="27.75" customHeight="1">
      <c r="A138" s="13" t="s">
        <v>28</v>
      </c>
      <c r="B138" s="11" t="s">
        <v>47</v>
      </c>
      <c r="C138" s="343">
        <v>1</v>
      </c>
      <c r="D138" s="343">
        <v>1</v>
      </c>
      <c r="E138" s="428">
        <v>1</v>
      </c>
      <c r="F138" s="343">
        <v>1</v>
      </c>
      <c r="G138" s="20">
        <f t="shared" ref="G138:G152" si="56">F138-E138</f>
        <v>0</v>
      </c>
      <c r="H138" s="20">
        <f t="shared" ref="H138:H152" si="57">(F138/E138)*100</f>
        <v>100</v>
      </c>
    </row>
    <row r="139" spans="1:8" ht="27.75" customHeight="1">
      <c r="A139" s="13" t="s">
        <v>31</v>
      </c>
      <c r="B139" s="11" t="s">
        <v>48</v>
      </c>
      <c r="C139" s="343">
        <v>6</v>
      </c>
      <c r="D139" s="343">
        <v>6</v>
      </c>
      <c r="E139" s="428">
        <v>6</v>
      </c>
      <c r="F139" s="343">
        <v>6</v>
      </c>
      <c r="G139" s="20">
        <f t="shared" si="56"/>
        <v>0</v>
      </c>
      <c r="H139" s="20">
        <f t="shared" si="57"/>
        <v>100</v>
      </c>
    </row>
    <row r="140" spans="1:8" ht="27.75" customHeight="1">
      <c r="A140" s="13" t="s">
        <v>29</v>
      </c>
      <c r="B140" s="11" t="s">
        <v>49</v>
      </c>
      <c r="C140" s="343">
        <v>190</v>
      </c>
      <c r="D140" s="343">
        <v>183</v>
      </c>
      <c r="E140" s="428">
        <v>192</v>
      </c>
      <c r="F140" s="343">
        <v>183</v>
      </c>
      <c r="G140" s="20">
        <f t="shared" si="56"/>
        <v>-9</v>
      </c>
      <c r="H140" s="20">
        <f t="shared" si="57"/>
        <v>95.3125</v>
      </c>
    </row>
    <row r="141" spans="1:8" ht="27.75" customHeight="1">
      <c r="A141" s="8" t="s">
        <v>110</v>
      </c>
      <c r="B141" s="9" t="s">
        <v>50</v>
      </c>
      <c r="C141" s="10">
        <f>SUM(C142:C144)</f>
        <v>33490.6</v>
      </c>
      <c r="D141" s="10">
        <f t="shared" ref="D141:F141" si="58">SUM(D142:D144)</f>
        <v>41063.799999999996</v>
      </c>
      <c r="E141" s="74">
        <f>SUM(E142:E144)</f>
        <v>42790.8</v>
      </c>
      <c r="F141" s="10">
        <f t="shared" si="58"/>
        <v>41063.799999999996</v>
      </c>
      <c r="G141" s="19">
        <f t="shared" si="56"/>
        <v>-1727.0000000000073</v>
      </c>
      <c r="H141" s="19">
        <f t="shared" si="57"/>
        <v>95.964085738055829</v>
      </c>
    </row>
    <row r="142" spans="1:8" ht="27.75" customHeight="1">
      <c r="A142" s="13" t="s">
        <v>28</v>
      </c>
      <c r="B142" s="11">
        <v>8011</v>
      </c>
      <c r="C142" s="12">
        <v>513.4</v>
      </c>
      <c r="D142" s="12">
        <v>557.79999999999995</v>
      </c>
      <c r="E142" s="161">
        <v>530</v>
      </c>
      <c r="F142" s="12">
        <v>557.79999999999995</v>
      </c>
      <c r="G142" s="20">
        <f t="shared" si="56"/>
        <v>27.799999999999955</v>
      </c>
      <c r="H142" s="20">
        <f t="shared" si="57"/>
        <v>105.24528301886791</v>
      </c>
    </row>
    <row r="143" spans="1:8" ht="27.75" customHeight="1">
      <c r="A143" s="13" t="s">
        <v>31</v>
      </c>
      <c r="B143" s="11">
        <v>8012</v>
      </c>
      <c r="C143" s="12">
        <v>1964.6</v>
      </c>
      <c r="D143" s="12">
        <v>2394.8000000000002</v>
      </c>
      <c r="E143" s="161">
        <v>2304</v>
      </c>
      <c r="F143" s="12">
        <v>2394.8000000000002</v>
      </c>
      <c r="G143" s="20">
        <f t="shared" si="56"/>
        <v>90.800000000000182</v>
      </c>
      <c r="H143" s="20">
        <f t="shared" si="57"/>
        <v>103.94097222222223</v>
      </c>
    </row>
    <row r="144" spans="1:8" ht="27.75" customHeight="1">
      <c r="A144" s="13" t="s">
        <v>29</v>
      </c>
      <c r="B144" s="11">
        <v>8013</v>
      </c>
      <c r="C144" s="12">
        <v>31012.6</v>
      </c>
      <c r="D144" s="12">
        <v>38111.199999999997</v>
      </c>
      <c r="E144" s="161">
        <v>39956.800000000003</v>
      </c>
      <c r="F144" s="12">
        <v>38111.199999999997</v>
      </c>
      <c r="G144" s="20">
        <f t="shared" si="56"/>
        <v>-1845.6000000000058</v>
      </c>
      <c r="H144" s="20">
        <f t="shared" si="57"/>
        <v>95.381011492411787</v>
      </c>
    </row>
    <row r="145" spans="1:8" ht="27.75" customHeight="1">
      <c r="A145" s="8" t="s">
        <v>2</v>
      </c>
      <c r="B145" s="9">
        <v>8020</v>
      </c>
      <c r="C145" s="10">
        <f t="shared" ref="C145:D145" si="59">SUM(C146:C148)</f>
        <v>33490.6</v>
      </c>
      <c r="D145" s="10">
        <f t="shared" si="59"/>
        <v>41063.799999999996</v>
      </c>
      <c r="E145" s="74">
        <f t="shared" ref="E145:F145" si="60">SUM(E146:E148)</f>
        <v>42790.8</v>
      </c>
      <c r="F145" s="10">
        <f t="shared" si="60"/>
        <v>41063.799999999996</v>
      </c>
      <c r="G145" s="19">
        <f t="shared" si="56"/>
        <v>-1727.0000000000073</v>
      </c>
      <c r="H145" s="19">
        <f t="shared" si="57"/>
        <v>95.964085738055829</v>
      </c>
    </row>
    <row r="146" spans="1:8" ht="27.75" customHeight="1">
      <c r="A146" s="13" t="s">
        <v>28</v>
      </c>
      <c r="B146" s="11">
        <v>8021</v>
      </c>
      <c r="C146" s="12">
        <v>513.4</v>
      </c>
      <c r="D146" s="12">
        <v>557.79999999999995</v>
      </c>
      <c r="E146" s="161">
        <v>530</v>
      </c>
      <c r="F146" s="12">
        <v>557.79999999999995</v>
      </c>
      <c r="G146" s="20">
        <f t="shared" si="56"/>
        <v>27.799999999999955</v>
      </c>
      <c r="H146" s="20">
        <f t="shared" si="57"/>
        <v>105.24528301886791</v>
      </c>
    </row>
    <row r="147" spans="1:8" ht="27.75" customHeight="1">
      <c r="A147" s="13" t="s">
        <v>31</v>
      </c>
      <c r="B147" s="11">
        <v>8022</v>
      </c>
      <c r="C147" s="12">
        <v>1964.6</v>
      </c>
      <c r="D147" s="12">
        <v>2394.8000000000002</v>
      </c>
      <c r="E147" s="161">
        <v>2304</v>
      </c>
      <c r="F147" s="12">
        <v>2394.8000000000002</v>
      </c>
      <c r="G147" s="20">
        <f t="shared" si="56"/>
        <v>90.800000000000182</v>
      </c>
      <c r="H147" s="20">
        <f t="shared" si="57"/>
        <v>103.94097222222223</v>
      </c>
    </row>
    <row r="148" spans="1:8" ht="27.75" customHeight="1">
      <c r="A148" s="13" t="s">
        <v>29</v>
      </c>
      <c r="B148" s="11">
        <v>8023</v>
      </c>
      <c r="C148" s="12">
        <v>31012.6</v>
      </c>
      <c r="D148" s="12">
        <v>38111.199999999997</v>
      </c>
      <c r="E148" s="161">
        <v>39956.800000000003</v>
      </c>
      <c r="F148" s="12">
        <v>38111.199999999997</v>
      </c>
      <c r="G148" s="20">
        <f t="shared" si="56"/>
        <v>-1845.6000000000058</v>
      </c>
      <c r="H148" s="20">
        <f t="shared" si="57"/>
        <v>95.381011492411787</v>
      </c>
    </row>
    <row r="149" spans="1:8" s="4" customFormat="1" ht="48" customHeight="1">
      <c r="A149" s="16" t="s">
        <v>76</v>
      </c>
      <c r="B149" s="23" t="s">
        <v>111</v>
      </c>
      <c r="C149" s="10">
        <f>(C145/C137)/9*1000</f>
        <v>18889.227298364352</v>
      </c>
      <c r="D149" s="10">
        <f>(D145/D137)/12*1000</f>
        <v>18010.438596491225</v>
      </c>
      <c r="E149" s="427">
        <f t="shared" ref="E149:F152" si="61">(E145/E137)/12*1000</f>
        <v>17919.095477386934</v>
      </c>
      <c r="F149" s="10">
        <f>(F145/F137)/12*1000</f>
        <v>18010.438596491225</v>
      </c>
      <c r="G149" s="19">
        <f t="shared" si="56"/>
        <v>91.343119104290963</v>
      </c>
      <c r="H149" s="19">
        <f t="shared" si="57"/>
        <v>100.50975295722691</v>
      </c>
    </row>
    <row r="150" spans="1:8" ht="27.75" customHeight="1">
      <c r="A150" s="13" t="s">
        <v>28</v>
      </c>
      <c r="B150" s="11">
        <v>8031</v>
      </c>
      <c r="C150" s="12">
        <f>(C146/C138)/12*1000</f>
        <v>42783.333333333328</v>
      </c>
      <c r="D150" s="12">
        <f>(D146/D138)/12*1000</f>
        <v>46483.333333333328</v>
      </c>
      <c r="E150" s="428">
        <f t="shared" si="61"/>
        <v>44166.666666666664</v>
      </c>
      <c r="F150" s="12">
        <f>(F146/F138)/12*1000</f>
        <v>46483.333333333328</v>
      </c>
      <c r="G150" s="20">
        <f t="shared" si="56"/>
        <v>2316.6666666666642</v>
      </c>
      <c r="H150" s="20">
        <f t="shared" si="57"/>
        <v>105.24528301886792</v>
      </c>
    </row>
    <row r="151" spans="1:8" ht="27.75" customHeight="1">
      <c r="A151" s="13" t="s">
        <v>31</v>
      </c>
      <c r="B151" s="11">
        <v>8032</v>
      </c>
      <c r="C151" s="12">
        <f t="shared" ref="C151:D151" si="62">(C147/C139)/12*1000</f>
        <v>27286.111111111113</v>
      </c>
      <c r="D151" s="12">
        <f t="shared" si="62"/>
        <v>33261.111111111109</v>
      </c>
      <c r="E151" s="428">
        <f t="shared" si="61"/>
        <v>32000</v>
      </c>
      <c r="F151" s="12">
        <f t="shared" si="61"/>
        <v>33261.111111111109</v>
      </c>
      <c r="G151" s="20">
        <f t="shared" si="56"/>
        <v>1261.1111111111095</v>
      </c>
      <c r="H151" s="20">
        <f t="shared" si="57"/>
        <v>103.94097222222223</v>
      </c>
    </row>
    <row r="152" spans="1:8" ht="27.75" customHeight="1">
      <c r="A152" s="13" t="s">
        <v>29</v>
      </c>
      <c r="B152" s="11">
        <v>8033</v>
      </c>
      <c r="C152" s="12">
        <f t="shared" ref="C152:D152" si="63">(C148/C140)/12*1000</f>
        <v>13602.017543859647</v>
      </c>
      <c r="D152" s="12">
        <f t="shared" si="63"/>
        <v>17354.826958105645</v>
      </c>
      <c r="E152" s="428">
        <f t="shared" si="61"/>
        <v>17342.361111111113</v>
      </c>
      <c r="F152" s="12">
        <f t="shared" si="61"/>
        <v>17354.826958105645</v>
      </c>
      <c r="G152" s="20">
        <f t="shared" si="56"/>
        <v>12.465846994531603</v>
      </c>
      <c r="H152" s="20">
        <f t="shared" si="57"/>
        <v>100.07188091007137</v>
      </c>
    </row>
    <row r="153" spans="1:8" s="4" customFormat="1">
      <c r="A153" s="25"/>
      <c r="C153" s="429"/>
      <c r="D153" s="221"/>
      <c r="E153" s="344"/>
      <c r="F153" s="344"/>
      <c r="G153" s="26"/>
      <c r="H153" s="26"/>
    </row>
    <row r="154" spans="1:8" s="4" customFormat="1">
      <c r="A154" s="25"/>
      <c r="C154" s="429"/>
      <c r="D154" s="221"/>
      <c r="E154" s="344"/>
      <c r="F154" s="344"/>
      <c r="G154" s="26"/>
      <c r="H154" s="26"/>
    </row>
    <row r="155" spans="1:8" s="4" customFormat="1" ht="28.5" customHeight="1">
      <c r="A155" s="263" t="s">
        <v>295</v>
      </c>
      <c r="B155" s="264"/>
      <c r="C155" s="482"/>
      <c r="D155" s="483"/>
      <c r="E155" s="430"/>
      <c r="F155" s="476" t="s">
        <v>420</v>
      </c>
      <c r="G155" s="476"/>
      <c r="H155" s="190"/>
    </row>
    <row r="156" spans="1:8" s="4" customFormat="1">
      <c r="A156" s="208" t="s">
        <v>12</v>
      </c>
      <c r="B156" s="118"/>
      <c r="C156" s="481" t="s">
        <v>13</v>
      </c>
      <c r="D156" s="481"/>
      <c r="E156" s="119"/>
      <c r="F156" s="477" t="s">
        <v>296</v>
      </c>
      <c r="G156" s="477"/>
      <c r="H156" s="210"/>
    </row>
    <row r="157" spans="1:8" s="4" customFormat="1">
      <c r="A157" s="27"/>
      <c r="C157" s="219"/>
      <c r="D157" s="219"/>
      <c r="E157" s="345"/>
      <c r="F157" s="345"/>
      <c r="G157" s="3"/>
      <c r="H157" s="3"/>
    </row>
    <row r="158" spans="1:8" s="4" customFormat="1">
      <c r="A158" s="27"/>
      <c r="C158" s="219"/>
      <c r="D158" s="219"/>
      <c r="E158" s="345"/>
      <c r="F158" s="345"/>
      <c r="G158" s="3"/>
      <c r="H158" s="3"/>
    </row>
    <row r="159" spans="1:8" s="4" customFormat="1">
      <c r="A159" s="27"/>
      <c r="C159" s="219"/>
      <c r="D159" s="219"/>
      <c r="E159" s="345"/>
      <c r="F159" s="345"/>
      <c r="G159" s="3"/>
      <c r="H159" s="3"/>
    </row>
    <row r="160" spans="1:8" s="4" customFormat="1">
      <c r="A160" s="27"/>
      <c r="C160" s="219"/>
      <c r="D160" s="219"/>
      <c r="E160" s="345"/>
      <c r="F160" s="345"/>
      <c r="G160" s="3"/>
      <c r="H160" s="3"/>
    </row>
    <row r="161" spans="1:8" s="4" customFormat="1">
      <c r="A161" s="27"/>
      <c r="C161" s="219"/>
      <c r="D161" s="219"/>
      <c r="E161" s="345"/>
      <c r="F161" s="345"/>
      <c r="G161" s="3"/>
      <c r="H161" s="3"/>
    </row>
    <row r="162" spans="1:8" s="4" customFormat="1">
      <c r="A162" s="27"/>
      <c r="C162" s="219"/>
      <c r="D162" s="219"/>
      <c r="E162" s="345"/>
      <c r="F162" s="345"/>
      <c r="G162" s="3"/>
      <c r="H162" s="3"/>
    </row>
    <row r="163" spans="1:8" s="4" customFormat="1">
      <c r="A163" s="27"/>
      <c r="C163" s="219"/>
      <c r="D163" s="219"/>
      <c r="E163" s="345"/>
      <c r="F163" s="345"/>
      <c r="G163" s="3"/>
      <c r="H163" s="3"/>
    </row>
    <row r="164" spans="1:8" s="4" customFormat="1">
      <c r="A164" s="27"/>
      <c r="C164" s="219"/>
      <c r="D164" s="219"/>
      <c r="E164" s="345"/>
      <c r="F164" s="345"/>
      <c r="G164" s="3"/>
      <c r="H164" s="3"/>
    </row>
    <row r="165" spans="1:8" s="4" customFormat="1">
      <c r="A165" s="27"/>
      <c r="C165" s="219"/>
      <c r="D165" s="219"/>
      <c r="E165" s="345"/>
      <c r="F165" s="345"/>
      <c r="G165" s="3"/>
      <c r="H165" s="3"/>
    </row>
    <row r="166" spans="1:8" s="4" customFormat="1">
      <c r="A166" s="27"/>
      <c r="C166" s="219"/>
      <c r="D166" s="219"/>
      <c r="E166" s="345"/>
      <c r="F166" s="345"/>
      <c r="G166" s="3"/>
      <c r="H166" s="3"/>
    </row>
    <row r="167" spans="1:8" s="4" customFormat="1">
      <c r="A167" s="27"/>
      <c r="C167" s="219"/>
      <c r="D167" s="219"/>
      <c r="E167" s="345"/>
      <c r="F167" s="345"/>
      <c r="G167" s="3"/>
      <c r="H167" s="3"/>
    </row>
    <row r="168" spans="1:8" s="4" customFormat="1">
      <c r="A168" s="27"/>
      <c r="C168" s="219"/>
      <c r="D168" s="219"/>
      <c r="E168" s="345"/>
      <c r="F168" s="345"/>
      <c r="G168" s="3"/>
      <c r="H168" s="3"/>
    </row>
    <row r="169" spans="1:8" s="4" customFormat="1">
      <c r="A169" s="27"/>
      <c r="C169" s="219"/>
      <c r="D169" s="219"/>
      <c r="E169" s="345"/>
      <c r="F169" s="345"/>
      <c r="G169" s="3"/>
      <c r="H169" s="3"/>
    </row>
    <row r="170" spans="1:8" s="4" customFormat="1">
      <c r="A170" s="27"/>
      <c r="C170" s="219"/>
      <c r="D170" s="219"/>
      <c r="E170" s="345"/>
      <c r="F170" s="345"/>
      <c r="G170" s="3"/>
      <c r="H170" s="3"/>
    </row>
    <row r="171" spans="1:8" s="4" customFormat="1">
      <c r="A171" s="27"/>
      <c r="C171" s="219"/>
      <c r="D171" s="219"/>
      <c r="E171" s="345"/>
      <c r="F171" s="345"/>
      <c r="G171" s="3"/>
      <c r="H171" s="3"/>
    </row>
    <row r="172" spans="1:8" s="4" customFormat="1">
      <c r="A172" s="27"/>
      <c r="C172" s="219"/>
      <c r="D172" s="219"/>
      <c r="E172" s="345"/>
      <c r="F172" s="345"/>
      <c r="G172" s="3"/>
      <c r="H172" s="3"/>
    </row>
    <row r="173" spans="1:8" s="4" customFormat="1">
      <c r="A173" s="27"/>
      <c r="C173" s="219"/>
      <c r="D173" s="219"/>
      <c r="E173" s="345"/>
      <c r="F173" s="345"/>
      <c r="G173" s="3"/>
      <c r="H173" s="3"/>
    </row>
    <row r="174" spans="1:8" s="4" customFormat="1">
      <c r="A174" s="27"/>
      <c r="C174" s="219"/>
      <c r="D174" s="219"/>
      <c r="E174" s="345"/>
      <c r="F174" s="345"/>
      <c r="G174" s="3"/>
      <c r="H174" s="3"/>
    </row>
    <row r="175" spans="1:8" s="4" customFormat="1">
      <c r="A175" s="27"/>
      <c r="C175" s="219"/>
      <c r="D175" s="219"/>
      <c r="E175" s="345"/>
      <c r="F175" s="345"/>
      <c r="G175" s="3"/>
      <c r="H175" s="3"/>
    </row>
    <row r="176" spans="1:8" s="4" customFormat="1">
      <c r="A176" s="27"/>
      <c r="C176" s="219"/>
      <c r="D176" s="219"/>
      <c r="E176" s="345"/>
      <c r="F176" s="345"/>
      <c r="G176" s="3"/>
      <c r="H176" s="3"/>
    </row>
    <row r="177" spans="1:8" s="4" customFormat="1">
      <c r="A177" s="27"/>
      <c r="C177" s="219"/>
      <c r="D177" s="219"/>
      <c r="E177" s="345"/>
      <c r="F177" s="345"/>
      <c r="G177" s="3"/>
      <c r="H177" s="3"/>
    </row>
    <row r="178" spans="1:8" s="4" customFormat="1">
      <c r="A178" s="27"/>
      <c r="C178" s="219"/>
      <c r="D178" s="219"/>
      <c r="E178" s="345"/>
      <c r="F178" s="345"/>
      <c r="G178" s="3"/>
      <c r="H178" s="3"/>
    </row>
    <row r="179" spans="1:8" s="4" customFormat="1">
      <c r="A179" s="27"/>
      <c r="C179" s="219"/>
      <c r="D179" s="219"/>
      <c r="E179" s="345"/>
      <c r="F179" s="345"/>
      <c r="G179" s="3"/>
      <c r="H179" s="3"/>
    </row>
    <row r="180" spans="1:8" s="4" customFormat="1">
      <c r="A180" s="27"/>
      <c r="C180" s="219"/>
      <c r="D180" s="219"/>
      <c r="E180" s="345"/>
      <c r="F180" s="345"/>
      <c r="G180" s="3"/>
      <c r="H180" s="3"/>
    </row>
    <row r="181" spans="1:8" s="4" customFormat="1">
      <c r="A181" s="27"/>
      <c r="C181" s="219"/>
      <c r="D181" s="219"/>
      <c r="E181" s="345"/>
      <c r="F181" s="345"/>
      <c r="G181" s="3"/>
      <c r="H181" s="3"/>
    </row>
    <row r="182" spans="1:8" s="4" customFormat="1">
      <c r="A182" s="27"/>
      <c r="C182" s="219"/>
      <c r="D182" s="219"/>
      <c r="E182" s="345"/>
      <c r="F182" s="345"/>
      <c r="G182" s="3"/>
      <c r="H182" s="3"/>
    </row>
    <row r="183" spans="1:8" s="4" customFormat="1">
      <c r="A183" s="27"/>
      <c r="C183" s="219"/>
      <c r="D183" s="219"/>
      <c r="E183" s="345"/>
      <c r="F183" s="345"/>
      <c r="G183" s="3"/>
      <c r="H183" s="3"/>
    </row>
    <row r="184" spans="1:8" s="4" customFormat="1">
      <c r="A184" s="27"/>
      <c r="C184" s="219"/>
      <c r="D184" s="219"/>
      <c r="E184" s="345"/>
      <c r="F184" s="345"/>
      <c r="G184" s="3"/>
      <c r="H184" s="3"/>
    </row>
    <row r="185" spans="1:8" s="4" customFormat="1">
      <c r="A185" s="27"/>
      <c r="C185" s="219"/>
      <c r="D185" s="219"/>
      <c r="E185" s="345"/>
      <c r="F185" s="345"/>
      <c r="G185" s="3"/>
      <c r="H185" s="3"/>
    </row>
    <row r="186" spans="1:8" s="4" customFormat="1">
      <c r="A186" s="27"/>
      <c r="C186" s="219"/>
      <c r="D186" s="219"/>
      <c r="E186" s="345"/>
      <c r="F186" s="345"/>
      <c r="G186" s="3"/>
      <c r="H186" s="3"/>
    </row>
    <row r="187" spans="1:8" s="4" customFormat="1">
      <c r="A187" s="27"/>
      <c r="C187" s="219"/>
      <c r="D187" s="219"/>
      <c r="E187" s="345"/>
      <c r="F187" s="345"/>
      <c r="G187" s="3"/>
      <c r="H187" s="3"/>
    </row>
    <row r="188" spans="1:8" s="4" customFormat="1">
      <c r="A188" s="27"/>
      <c r="C188" s="219"/>
      <c r="D188" s="219"/>
      <c r="E188" s="345"/>
      <c r="F188" s="345"/>
      <c r="G188" s="3"/>
      <c r="H188" s="3"/>
    </row>
    <row r="189" spans="1:8" s="4" customFormat="1">
      <c r="A189" s="27"/>
      <c r="C189" s="219"/>
      <c r="D189" s="219"/>
      <c r="E189" s="345"/>
      <c r="F189" s="345"/>
      <c r="G189" s="3"/>
      <c r="H189" s="3"/>
    </row>
    <row r="190" spans="1:8" s="4" customFormat="1">
      <c r="A190" s="27"/>
      <c r="C190" s="219"/>
      <c r="D190" s="219"/>
      <c r="E190" s="345"/>
      <c r="F190" s="345"/>
      <c r="G190" s="3"/>
      <c r="H190" s="3"/>
    </row>
    <row r="191" spans="1:8" s="4" customFormat="1">
      <c r="A191" s="27"/>
      <c r="C191" s="219"/>
      <c r="D191" s="219"/>
      <c r="E191" s="345"/>
      <c r="F191" s="345"/>
      <c r="G191" s="3"/>
      <c r="H191" s="3"/>
    </row>
    <row r="192" spans="1:8" s="4" customFormat="1">
      <c r="A192" s="27"/>
      <c r="C192" s="219"/>
      <c r="D192" s="219"/>
      <c r="E192" s="345"/>
      <c r="F192" s="345"/>
      <c r="G192" s="3"/>
      <c r="H192" s="3"/>
    </row>
    <row r="193" spans="1:12" s="4" customFormat="1">
      <c r="A193" s="27"/>
      <c r="C193" s="219"/>
      <c r="D193" s="219"/>
      <c r="E193" s="345"/>
      <c r="F193" s="345"/>
      <c r="G193" s="3"/>
      <c r="H193" s="3"/>
      <c r="J193" s="4">
        <v>698.8</v>
      </c>
      <c r="K193" s="4">
        <v>395</v>
      </c>
      <c r="L193" s="4">
        <v>28</v>
      </c>
    </row>
    <row r="194" spans="1:12" s="4" customFormat="1">
      <c r="A194" s="27"/>
      <c r="C194" s="219"/>
      <c r="D194" s="219"/>
      <c r="E194" s="345"/>
      <c r="F194" s="345"/>
      <c r="G194" s="3"/>
      <c r="H194" s="3"/>
    </row>
    <row r="195" spans="1:12" s="4" customFormat="1">
      <c r="A195" s="27"/>
      <c r="C195" s="219"/>
      <c r="D195" s="219"/>
      <c r="E195" s="345"/>
      <c r="F195" s="345"/>
      <c r="G195" s="3"/>
      <c r="H195" s="3"/>
    </row>
    <row r="196" spans="1:12" s="4" customFormat="1">
      <c r="A196" s="27"/>
      <c r="C196" s="219"/>
      <c r="D196" s="219"/>
      <c r="E196" s="345"/>
      <c r="F196" s="345"/>
      <c r="G196" s="3"/>
      <c r="H196" s="3"/>
    </row>
    <row r="197" spans="1:12" s="4" customFormat="1">
      <c r="A197" s="27"/>
      <c r="C197" s="219"/>
      <c r="D197" s="219"/>
      <c r="E197" s="345"/>
      <c r="F197" s="345"/>
      <c r="G197" s="3"/>
      <c r="H197" s="3"/>
    </row>
    <row r="198" spans="1:12" s="4" customFormat="1">
      <c r="A198" s="27"/>
      <c r="C198" s="219"/>
      <c r="D198" s="219"/>
      <c r="E198" s="345"/>
      <c r="F198" s="345"/>
      <c r="G198" s="3"/>
      <c r="H198" s="3"/>
    </row>
    <row r="199" spans="1:12" s="4" customFormat="1">
      <c r="A199" s="27"/>
      <c r="C199" s="219"/>
      <c r="D199" s="219"/>
      <c r="E199" s="345"/>
      <c r="F199" s="345"/>
      <c r="G199" s="3"/>
      <c r="H199" s="3"/>
    </row>
    <row r="200" spans="1:12" s="4" customFormat="1">
      <c r="A200" s="27"/>
      <c r="C200" s="219"/>
      <c r="D200" s="219"/>
      <c r="E200" s="345"/>
      <c r="F200" s="345"/>
      <c r="G200" s="3"/>
      <c r="H200" s="3"/>
    </row>
    <row r="201" spans="1:12" s="4" customFormat="1">
      <c r="A201" s="27"/>
      <c r="C201" s="219"/>
      <c r="D201" s="219"/>
      <c r="E201" s="345"/>
      <c r="F201" s="345"/>
      <c r="G201" s="3"/>
      <c r="H201" s="3"/>
    </row>
    <row r="202" spans="1:12" s="4" customFormat="1">
      <c r="A202" s="27"/>
      <c r="C202" s="219"/>
      <c r="D202" s="219"/>
      <c r="E202" s="345"/>
      <c r="F202" s="345"/>
      <c r="G202" s="3"/>
      <c r="H202" s="3"/>
    </row>
    <row r="203" spans="1:12" s="4" customFormat="1">
      <c r="A203" s="27"/>
      <c r="C203" s="219"/>
      <c r="D203" s="219"/>
      <c r="E203" s="345"/>
      <c r="F203" s="345"/>
      <c r="G203" s="3"/>
      <c r="H203" s="3"/>
    </row>
    <row r="204" spans="1:12" s="4" customFormat="1">
      <c r="A204" s="27"/>
      <c r="C204" s="219"/>
      <c r="D204" s="219"/>
      <c r="E204" s="345"/>
      <c r="F204" s="345"/>
      <c r="G204" s="3"/>
      <c r="H204" s="3"/>
    </row>
    <row r="205" spans="1:12" s="4" customFormat="1">
      <c r="A205" s="27"/>
      <c r="C205" s="219"/>
      <c r="D205" s="219"/>
      <c r="E205" s="345"/>
      <c r="F205" s="345"/>
      <c r="G205" s="3"/>
      <c r="H205" s="3"/>
    </row>
    <row r="206" spans="1:12" s="4" customFormat="1">
      <c r="A206" s="27"/>
      <c r="C206" s="219"/>
      <c r="D206" s="219"/>
      <c r="E206" s="345"/>
      <c r="F206" s="345"/>
      <c r="G206" s="3"/>
      <c r="H206" s="3"/>
    </row>
    <row r="207" spans="1:12" s="4" customFormat="1">
      <c r="A207" s="27"/>
      <c r="C207" s="219"/>
      <c r="D207" s="219"/>
      <c r="E207" s="345"/>
      <c r="F207" s="345"/>
      <c r="G207" s="3"/>
      <c r="H207" s="3"/>
    </row>
    <row r="208" spans="1:12" s="4" customFormat="1">
      <c r="A208" s="27"/>
      <c r="C208" s="219"/>
      <c r="D208" s="219"/>
      <c r="E208" s="345"/>
      <c r="F208" s="345"/>
      <c r="G208" s="3"/>
      <c r="H208" s="3"/>
    </row>
    <row r="209" spans="1:8" s="4" customFormat="1">
      <c r="A209" s="27"/>
      <c r="C209" s="219"/>
      <c r="D209" s="219"/>
      <c r="E209" s="345"/>
      <c r="F209" s="345"/>
      <c r="G209" s="3"/>
      <c r="H209" s="3"/>
    </row>
    <row r="210" spans="1:8" s="4" customFormat="1">
      <c r="A210" s="27"/>
      <c r="C210" s="219"/>
      <c r="D210" s="219"/>
      <c r="E210" s="345"/>
      <c r="F210" s="345"/>
      <c r="G210" s="3"/>
      <c r="H210" s="3"/>
    </row>
    <row r="211" spans="1:8" s="4" customFormat="1">
      <c r="A211" s="27"/>
      <c r="C211" s="219"/>
      <c r="D211" s="219"/>
      <c r="E211" s="345"/>
      <c r="F211" s="345"/>
      <c r="G211" s="3"/>
      <c r="H211" s="3"/>
    </row>
    <row r="212" spans="1:8" s="4" customFormat="1">
      <c r="A212" s="27"/>
      <c r="C212" s="219"/>
      <c r="D212" s="219"/>
      <c r="E212" s="345"/>
      <c r="F212" s="345"/>
      <c r="G212" s="3"/>
      <c r="H212" s="3"/>
    </row>
    <row r="213" spans="1:8" s="4" customFormat="1">
      <c r="A213" s="27"/>
      <c r="C213" s="219"/>
      <c r="D213" s="219"/>
      <c r="E213" s="345"/>
      <c r="F213" s="345"/>
      <c r="G213" s="3"/>
      <c r="H213" s="3"/>
    </row>
    <row r="214" spans="1:8" s="4" customFormat="1">
      <c r="A214" s="27"/>
      <c r="C214" s="219"/>
      <c r="D214" s="219"/>
      <c r="E214" s="345"/>
      <c r="F214" s="345"/>
      <c r="G214" s="3"/>
      <c r="H214" s="3"/>
    </row>
    <row r="215" spans="1:8" s="4" customFormat="1">
      <c r="A215" s="27"/>
      <c r="C215" s="219"/>
      <c r="D215" s="219"/>
      <c r="E215" s="345"/>
      <c r="F215" s="345"/>
      <c r="G215" s="3"/>
      <c r="H215" s="3"/>
    </row>
    <row r="216" spans="1:8" s="4" customFormat="1">
      <c r="A216" s="27"/>
      <c r="C216" s="219"/>
      <c r="D216" s="219"/>
      <c r="E216" s="345"/>
      <c r="F216" s="345"/>
      <c r="G216" s="3"/>
      <c r="H216" s="3"/>
    </row>
    <row r="217" spans="1:8" s="4" customFormat="1">
      <c r="A217" s="27"/>
      <c r="C217" s="219"/>
      <c r="D217" s="219"/>
      <c r="E217" s="345"/>
      <c r="F217" s="345"/>
      <c r="G217" s="3"/>
      <c r="H217" s="3"/>
    </row>
    <row r="218" spans="1:8" s="4" customFormat="1">
      <c r="A218" s="27"/>
      <c r="C218" s="219"/>
      <c r="D218" s="219"/>
      <c r="E218" s="345"/>
      <c r="F218" s="345"/>
      <c r="G218" s="3"/>
      <c r="H218" s="3"/>
    </row>
    <row r="219" spans="1:8" s="4" customFormat="1">
      <c r="A219" s="27"/>
      <c r="C219" s="219"/>
      <c r="D219" s="219"/>
      <c r="E219" s="345"/>
      <c r="F219" s="345"/>
      <c r="G219" s="3"/>
      <c r="H219" s="3"/>
    </row>
    <row r="220" spans="1:8" s="4" customFormat="1">
      <c r="A220" s="27"/>
      <c r="C220" s="219"/>
      <c r="D220" s="219"/>
      <c r="E220" s="345"/>
      <c r="F220" s="345"/>
      <c r="G220" s="3"/>
      <c r="H220" s="3"/>
    </row>
    <row r="221" spans="1:8" s="4" customFormat="1">
      <c r="A221" s="27"/>
      <c r="C221" s="219"/>
      <c r="D221" s="219"/>
      <c r="E221" s="345"/>
      <c r="F221" s="345"/>
      <c r="G221" s="3"/>
      <c r="H221" s="3"/>
    </row>
    <row r="222" spans="1:8" s="4" customFormat="1">
      <c r="A222" s="27"/>
      <c r="C222" s="219"/>
      <c r="D222" s="219"/>
      <c r="E222" s="345"/>
      <c r="F222" s="345"/>
      <c r="G222" s="3"/>
      <c r="H222" s="3"/>
    </row>
    <row r="223" spans="1:8" s="4" customFormat="1">
      <c r="A223" s="27"/>
      <c r="C223" s="219"/>
      <c r="D223" s="219"/>
      <c r="E223" s="345"/>
      <c r="F223" s="345"/>
      <c r="G223" s="3"/>
      <c r="H223" s="3"/>
    </row>
    <row r="224" spans="1:8" s="4" customFormat="1">
      <c r="A224" s="27"/>
      <c r="C224" s="219"/>
      <c r="D224" s="219"/>
      <c r="E224" s="345"/>
      <c r="F224" s="345"/>
      <c r="G224" s="3"/>
      <c r="H224" s="3"/>
    </row>
    <row r="225" spans="1:8" s="4" customFormat="1">
      <c r="A225" s="27"/>
      <c r="C225" s="219"/>
      <c r="D225" s="219"/>
      <c r="E225" s="345"/>
      <c r="F225" s="345"/>
      <c r="G225" s="3"/>
      <c r="H225" s="3"/>
    </row>
    <row r="226" spans="1:8" s="4" customFormat="1">
      <c r="A226" s="27"/>
      <c r="C226" s="219"/>
      <c r="D226" s="219"/>
      <c r="E226" s="345"/>
      <c r="F226" s="345"/>
      <c r="G226" s="3"/>
      <c r="H226" s="3"/>
    </row>
    <row r="227" spans="1:8" s="4" customFormat="1">
      <c r="A227" s="27"/>
      <c r="C227" s="219"/>
      <c r="D227" s="219"/>
      <c r="E227" s="345"/>
      <c r="F227" s="345"/>
      <c r="G227" s="3"/>
      <c r="H227" s="3"/>
    </row>
    <row r="228" spans="1:8" s="4" customFormat="1">
      <c r="A228" s="27"/>
      <c r="C228" s="219"/>
      <c r="D228" s="219"/>
      <c r="E228" s="345"/>
      <c r="F228" s="345"/>
      <c r="G228" s="3"/>
      <c r="H228" s="3"/>
    </row>
    <row r="229" spans="1:8" s="4" customFormat="1">
      <c r="A229" s="27"/>
      <c r="C229" s="219"/>
      <c r="D229" s="219"/>
      <c r="E229" s="345"/>
      <c r="F229" s="345"/>
      <c r="G229" s="3"/>
      <c r="H229" s="3"/>
    </row>
    <row r="230" spans="1:8" s="4" customFormat="1">
      <c r="A230" s="27"/>
      <c r="C230" s="219"/>
      <c r="D230" s="219"/>
      <c r="E230" s="345"/>
      <c r="F230" s="345"/>
      <c r="G230" s="3"/>
      <c r="H230" s="3"/>
    </row>
    <row r="231" spans="1:8" s="4" customFormat="1">
      <c r="A231" s="27"/>
      <c r="C231" s="219"/>
      <c r="D231" s="219"/>
      <c r="E231" s="345"/>
      <c r="F231" s="345"/>
      <c r="G231" s="3"/>
      <c r="H231" s="3"/>
    </row>
    <row r="232" spans="1:8" s="4" customFormat="1">
      <c r="A232" s="27"/>
      <c r="C232" s="219"/>
      <c r="D232" s="219"/>
      <c r="E232" s="345"/>
      <c r="F232" s="345"/>
      <c r="G232" s="3"/>
      <c r="H232" s="3"/>
    </row>
    <row r="233" spans="1:8" s="4" customFormat="1">
      <c r="A233" s="27"/>
      <c r="C233" s="219"/>
      <c r="D233" s="219"/>
      <c r="E233" s="345"/>
      <c r="F233" s="345"/>
      <c r="G233" s="3"/>
      <c r="H233" s="3"/>
    </row>
    <row r="234" spans="1:8" s="4" customFormat="1">
      <c r="A234" s="27"/>
      <c r="C234" s="219"/>
      <c r="D234" s="219"/>
      <c r="E234" s="345"/>
      <c r="F234" s="345"/>
      <c r="G234" s="3"/>
      <c r="H234" s="3"/>
    </row>
    <row r="235" spans="1:8" s="4" customFormat="1">
      <c r="A235" s="27"/>
      <c r="C235" s="219"/>
      <c r="D235" s="219"/>
      <c r="E235" s="345"/>
      <c r="F235" s="345"/>
      <c r="G235" s="3"/>
      <c r="H235" s="3"/>
    </row>
    <row r="236" spans="1:8" s="4" customFormat="1">
      <c r="A236" s="27"/>
      <c r="C236" s="219"/>
      <c r="D236" s="219"/>
      <c r="E236" s="345"/>
      <c r="F236" s="345"/>
      <c r="G236" s="3"/>
      <c r="H236" s="3"/>
    </row>
    <row r="237" spans="1:8" s="4" customFormat="1">
      <c r="A237" s="27"/>
      <c r="C237" s="219"/>
      <c r="D237" s="219"/>
      <c r="E237" s="345"/>
      <c r="F237" s="345"/>
      <c r="G237" s="3"/>
      <c r="H237" s="3"/>
    </row>
    <row r="238" spans="1:8" s="4" customFormat="1">
      <c r="A238" s="27"/>
      <c r="C238" s="219"/>
      <c r="D238" s="219"/>
      <c r="E238" s="345"/>
      <c r="F238" s="345"/>
      <c r="G238" s="3"/>
      <c r="H238" s="3"/>
    </row>
    <row r="239" spans="1:8" s="4" customFormat="1">
      <c r="A239" s="27"/>
      <c r="C239" s="219"/>
      <c r="D239" s="219"/>
      <c r="E239" s="345"/>
      <c r="F239" s="345"/>
      <c r="G239" s="3"/>
      <c r="H239" s="3"/>
    </row>
    <row r="240" spans="1:8" s="4" customFormat="1">
      <c r="A240" s="27"/>
      <c r="C240" s="219"/>
      <c r="D240" s="219"/>
      <c r="E240" s="345"/>
      <c r="F240" s="345"/>
      <c r="G240" s="3"/>
      <c r="H240" s="3"/>
    </row>
    <row r="241" spans="1:8" s="4" customFormat="1">
      <c r="A241" s="27"/>
      <c r="C241" s="219"/>
      <c r="D241" s="219"/>
      <c r="E241" s="345"/>
      <c r="F241" s="345"/>
      <c r="G241" s="3"/>
      <c r="H241" s="3"/>
    </row>
    <row r="242" spans="1:8" s="4" customFormat="1">
      <c r="A242" s="27"/>
      <c r="C242" s="219"/>
      <c r="D242" s="219"/>
      <c r="E242" s="345"/>
      <c r="F242" s="345"/>
      <c r="G242" s="3"/>
      <c r="H242" s="3"/>
    </row>
    <row r="243" spans="1:8" s="4" customFormat="1">
      <c r="A243" s="27"/>
      <c r="C243" s="219"/>
      <c r="D243" s="219"/>
      <c r="E243" s="345"/>
      <c r="F243" s="345"/>
      <c r="G243" s="3"/>
      <c r="H243" s="3"/>
    </row>
    <row r="244" spans="1:8" s="4" customFormat="1">
      <c r="A244" s="27"/>
      <c r="C244" s="219"/>
      <c r="D244" s="219"/>
      <c r="E244" s="345"/>
      <c r="F244" s="345"/>
      <c r="G244" s="3"/>
      <c r="H244" s="3"/>
    </row>
    <row r="245" spans="1:8" s="4" customFormat="1">
      <c r="A245" s="27"/>
      <c r="C245" s="219"/>
      <c r="D245" s="219"/>
      <c r="E245" s="345"/>
      <c r="F245" s="345"/>
      <c r="G245" s="3"/>
      <c r="H245" s="3"/>
    </row>
    <row r="246" spans="1:8" s="4" customFormat="1">
      <c r="A246" s="27"/>
      <c r="C246" s="219"/>
      <c r="D246" s="219"/>
      <c r="E246" s="345"/>
      <c r="F246" s="345"/>
      <c r="G246" s="3"/>
      <c r="H246" s="3"/>
    </row>
    <row r="247" spans="1:8" s="4" customFormat="1">
      <c r="A247" s="27"/>
      <c r="C247" s="219"/>
      <c r="D247" s="219"/>
      <c r="E247" s="345"/>
      <c r="F247" s="345"/>
      <c r="G247" s="3"/>
      <c r="H247" s="3"/>
    </row>
    <row r="248" spans="1:8" s="4" customFormat="1">
      <c r="A248" s="27"/>
      <c r="C248" s="219"/>
      <c r="D248" s="219"/>
      <c r="E248" s="345"/>
      <c r="F248" s="345"/>
      <c r="G248" s="3"/>
      <c r="H248" s="3"/>
    </row>
    <row r="249" spans="1:8" s="4" customFormat="1">
      <c r="A249" s="27"/>
      <c r="C249" s="219"/>
      <c r="D249" s="219"/>
      <c r="E249" s="345"/>
      <c r="F249" s="345"/>
      <c r="G249" s="3"/>
      <c r="H249" s="3"/>
    </row>
    <row r="250" spans="1:8" s="4" customFormat="1">
      <c r="A250" s="27"/>
      <c r="C250" s="219"/>
      <c r="D250" s="219"/>
      <c r="E250" s="345"/>
      <c r="F250" s="345"/>
      <c r="G250" s="3"/>
      <c r="H250" s="3"/>
    </row>
    <row r="251" spans="1:8" s="4" customFormat="1">
      <c r="A251" s="27"/>
      <c r="C251" s="219"/>
      <c r="D251" s="219"/>
      <c r="E251" s="345"/>
      <c r="F251" s="345"/>
      <c r="G251" s="3"/>
      <c r="H251" s="3"/>
    </row>
    <row r="252" spans="1:8" s="4" customFormat="1">
      <c r="A252" s="27"/>
      <c r="C252" s="219"/>
      <c r="D252" s="219"/>
      <c r="E252" s="345"/>
      <c r="F252" s="345"/>
      <c r="G252" s="3"/>
      <c r="H252" s="3"/>
    </row>
    <row r="253" spans="1:8" s="4" customFormat="1">
      <c r="A253" s="27"/>
      <c r="C253" s="219"/>
      <c r="D253" s="219"/>
      <c r="E253" s="345"/>
      <c r="F253" s="345"/>
      <c r="G253" s="3"/>
      <c r="H253" s="3"/>
    </row>
    <row r="254" spans="1:8" s="4" customFormat="1">
      <c r="A254" s="27"/>
      <c r="C254" s="219"/>
      <c r="D254" s="219"/>
      <c r="E254" s="345"/>
      <c r="F254" s="345"/>
      <c r="G254" s="3"/>
      <c r="H254" s="3"/>
    </row>
    <row r="255" spans="1:8" s="4" customFormat="1">
      <c r="A255" s="27"/>
      <c r="C255" s="219"/>
      <c r="D255" s="219"/>
      <c r="E255" s="345"/>
      <c r="F255" s="345"/>
      <c r="G255" s="3"/>
      <c r="H255" s="3"/>
    </row>
    <row r="256" spans="1:8" s="4" customFormat="1">
      <c r="A256" s="27"/>
      <c r="C256" s="219"/>
      <c r="D256" s="219"/>
      <c r="E256" s="345"/>
      <c r="F256" s="345"/>
      <c r="G256" s="3"/>
      <c r="H256" s="3"/>
    </row>
    <row r="257" spans="1:8" s="4" customFormat="1">
      <c r="A257" s="27"/>
      <c r="C257" s="219"/>
      <c r="D257" s="219"/>
      <c r="E257" s="345"/>
      <c r="F257" s="345"/>
      <c r="G257" s="3"/>
      <c r="H257" s="3"/>
    </row>
    <row r="258" spans="1:8" s="4" customFormat="1">
      <c r="A258" s="27"/>
      <c r="C258" s="219"/>
      <c r="D258" s="219"/>
      <c r="E258" s="345"/>
      <c r="F258" s="345"/>
      <c r="G258" s="3"/>
      <c r="H258" s="3"/>
    </row>
    <row r="259" spans="1:8" s="4" customFormat="1">
      <c r="A259" s="27"/>
      <c r="C259" s="219"/>
      <c r="D259" s="219"/>
      <c r="E259" s="345"/>
      <c r="F259" s="345"/>
      <c r="G259" s="3"/>
      <c r="H259" s="3"/>
    </row>
    <row r="260" spans="1:8" s="4" customFormat="1">
      <c r="A260" s="27"/>
      <c r="C260" s="219"/>
      <c r="D260" s="219"/>
      <c r="E260" s="345"/>
      <c r="F260" s="345"/>
      <c r="G260" s="3"/>
      <c r="H260" s="3"/>
    </row>
    <row r="261" spans="1:8" s="4" customFormat="1">
      <c r="A261" s="27"/>
      <c r="C261" s="219"/>
      <c r="D261" s="219"/>
      <c r="E261" s="345"/>
      <c r="F261" s="345"/>
      <c r="G261" s="3"/>
      <c r="H261" s="3"/>
    </row>
    <row r="262" spans="1:8" s="4" customFormat="1">
      <c r="A262" s="27"/>
      <c r="C262" s="219"/>
      <c r="D262" s="219"/>
      <c r="E262" s="345"/>
      <c r="F262" s="345"/>
      <c r="G262" s="3"/>
      <c r="H262" s="3"/>
    </row>
    <row r="263" spans="1:8" s="4" customFormat="1">
      <c r="A263" s="27"/>
      <c r="C263" s="219"/>
      <c r="D263" s="219"/>
      <c r="E263" s="345"/>
      <c r="F263" s="345"/>
      <c r="G263" s="3"/>
      <c r="H263" s="3"/>
    </row>
    <row r="264" spans="1:8" s="4" customFormat="1">
      <c r="A264" s="27"/>
      <c r="C264" s="219"/>
      <c r="D264" s="219"/>
      <c r="E264" s="345"/>
      <c r="F264" s="345"/>
      <c r="G264" s="3"/>
      <c r="H264" s="3"/>
    </row>
    <row r="265" spans="1:8" s="4" customFormat="1">
      <c r="A265" s="27"/>
      <c r="C265" s="219"/>
      <c r="D265" s="219"/>
      <c r="E265" s="345"/>
      <c r="F265" s="345"/>
      <c r="G265" s="3"/>
      <c r="H265" s="3"/>
    </row>
    <row r="266" spans="1:8" s="4" customFormat="1">
      <c r="A266" s="27"/>
      <c r="C266" s="219"/>
      <c r="D266" s="219"/>
      <c r="E266" s="345"/>
      <c r="F266" s="345"/>
      <c r="G266" s="3"/>
      <c r="H266" s="3"/>
    </row>
    <row r="267" spans="1:8" s="4" customFormat="1">
      <c r="A267" s="27"/>
      <c r="C267" s="219"/>
      <c r="D267" s="219"/>
      <c r="E267" s="345"/>
      <c r="F267" s="345"/>
      <c r="G267" s="3"/>
      <c r="H267" s="3"/>
    </row>
    <row r="268" spans="1:8" s="4" customFormat="1">
      <c r="A268" s="27"/>
      <c r="C268" s="219"/>
      <c r="D268" s="219"/>
      <c r="E268" s="345"/>
      <c r="F268" s="345"/>
      <c r="G268" s="3"/>
      <c r="H268" s="3"/>
    </row>
    <row r="269" spans="1:8" s="4" customFormat="1">
      <c r="A269" s="27"/>
      <c r="C269" s="219"/>
      <c r="D269" s="219"/>
      <c r="E269" s="345"/>
      <c r="F269" s="345"/>
      <c r="G269" s="3"/>
      <c r="H269" s="3"/>
    </row>
    <row r="270" spans="1:8" s="4" customFormat="1">
      <c r="A270" s="27"/>
      <c r="C270" s="219"/>
      <c r="D270" s="219"/>
      <c r="E270" s="345"/>
      <c r="F270" s="345"/>
      <c r="G270" s="3"/>
      <c r="H270" s="3"/>
    </row>
    <row r="271" spans="1:8" s="4" customFormat="1">
      <c r="A271" s="27"/>
      <c r="C271" s="219"/>
      <c r="D271" s="219"/>
      <c r="E271" s="345"/>
      <c r="F271" s="345"/>
      <c r="G271" s="3"/>
      <c r="H271" s="3"/>
    </row>
    <row r="272" spans="1:8" s="4" customFormat="1">
      <c r="A272" s="27"/>
      <c r="C272" s="219"/>
      <c r="D272" s="219"/>
      <c r="E272" s="345"/>
      <c r="F272" s="345"/>
      <c r="G272" s="3"/>
      <c r="H272" s="3"/>
    </row>
    <row r="273" spans="1:8" s="4" customFormat="1">
      <c r="A273" s="27"/>
      <c r="C273" s="219"/>
      <c r="D273" s="219"/>
      <c r="E273" s="345"/>
      <c r="F273" s="345"/>
      <c r="G273" s="3"/>
      <c r="H273" s="3"/>
    </row>
    <row r="274" spans="1:8" s="4" customFormat="1">
      <c r="A274" s="27"/>
      <c r="C274" s="219"/>
      <c r="D274" s="219"/>
      <c r="E274" s="345"/>
      <c r="F274" s="345"/>
      <c r="G274" s="3"/>
      <c r="H274" s="3"/>
    </row>
    <row r="275" spans="1:8" s="4" customFormat="1">
      <c r="A275" s="27"/>
      <c r="C275" s="219"/>
      <c r="D275" s="219"/>
      <c r="E275" s="345"/>
      <c r="F275" s="345"/>
      <c r="G275" s="3"/>
      <c r="H275" s="3"/>
    </row>
    <row r="276" spans="1:8" s="4" customFormat="1">
      <c r="A276" s="27"/>
      <c r="C276" s="219"/>
      <c r="D276" s="219"/>
      <c r="E276" s="345"/>
      <c r="F276" s="345"/>
      <c r="G276" s="3"/>
      <c r="H276" s="3"/>
    </row>
    <row r="277" spans="1:8" s="4" customFormat="1">
      <c r="A277" s="27"/>
      <c r="C277" s="219"/>
      <c r="D277" s="219"/>
      <c r="E277" s="345"/>
      <c r="F277" s="345"/>
      <c r="G277" s="3"/>
      <c r="H277" s="3"/>
    </row>
    <row r="278" spans="1:8" s="4" customFormat="1">
      <c r="A278" s="27"/>
      <c r="C278" s="219"/>
      <c r="D278" s="219"/>
      <c r="E278" s="345"/>
      <c r="F278" s="345"/>
      <c r="G278" s="3"/>
      <c r="H278" s="3"/>
    </row>
    <row r="279" spans="1:8" s="4" customFormat="1">
      <c r="A279" s="27"/>
      <c r="C279" s="219"/>
      <c r="D279" s="219"/>
      <c r="E279" s="345"/>
      <c r="F279" s="345"/>
      <c r="G279" s="3"/>
      <c r="H279" s="3"/>
    </row>
    <row r="280" spans="1:8" s="4" customFormat="1">
      <c r="A280" s="27"/>
      <c r="C280" s="219"/>
      <c r="D280" s="219"/>
      <c r="E280" s="345"/>
      <c r="F280" s="345"/>
      <c r="G280" s="3"/>
      <c r="H280" s="3"/>
    </row>
    <row r="281" spans="1:8" s="4" customFormat="1">
      <c r="A281" s="27"/>
      <c r="C281" s="219"/>
      <c r="D281" s="219"/>
      <c r="E281" s="345"/>
      <c r="F281" s="345"/>
      <c r="G281" s="3"/>
      <c r="H281" s="3"/>
    </row>
    <row r="282" spans="1:8" s="4" customFormat="1">
      <c r="A282" s="27"/>
      <c r="C282" s="219"/>
      <c r="D282" s="219"/>
      <c r="E282" s="345"/>
      <c r="F282" s="345"/>
      <c r="G282" s="3"/>
      <c r="H282" s="3"/>
    </row>
    <row r="283" spans="1:8" s="4" customFormat="1">
      <c r="A283" s="27"/>
      <c r="C283" s="219"/>
      <c r="D283" s="219"/>
      <c r="E283" s="345"/>
      <c r="F283" s="345"/>
      <c r="G283" s="3"/>
      <c r="H283" s="3"/>
    </row>
    <row r="284" spans="1:8" s="4" customFormat="1">
      <c r="A284" s="27"/>
      <c r="C284" s="219"/>
      <c r="D284" s="219"/>
      <c r="E284" s="345"/>
      <c r="F284" s="345"/>
      <c r="G284" s="3"/>
      <c r="H284" s="3"/>
    </row>
    <row r="285" spans="1:8" s="4" customFormat="1">
      <c r="A285" s="27"/>
      <c r="C285" s="219"/>
      <c r="D285" s="219"/>
      <c r="E285" s="345"/>
      <c r="F285" s="345"/>
      <c r="G285" s="3"/>
      <c r="H285" s="3"/>
    </row>
    <row r="286" spans="1:8" s="4" customFormat="1">
      <c r="A286" s="27"/>
      <c r="C286" s="219"/>
      <c r="D286" s="219"/>
      <c r="E286" s="345"/>
      <c r="F286" s="345"/>
      <c r="G286" s="3"/>
      <c r="H286" s="3"/>
    </row>
    <row r="287" spans="1:8" s="4" customFormat="1">
      <c r="A287" s="27"/>
      <c r="C287" s="219"/>
      <c r="D287" s="219"/>
      <c r="E287" s="345"/>
      <c r="F287" s="345"/>
      <c r="G287" s="3"/>
      <c r="H287" s="3"/>
    </row>
    <row r="288" spans="1:8" s="4" customFormat="1">
      <c r="A288" s="27"/>
      <c r="C288" s="219"/>
      <c r="D288" s="219"/>
      <c r="E288" s="345"/>
      <c r="F288" s="345"/>
      <c r="G288" s="3"/>
      <c r="H288" s="3"/>
    </row>
    <row r="289" spans="1:8" s="4" customFormat="1">
      <c r="A289" s="27"/>
      <c r="C289" s="219"/>
      <c r="D289" s="219"/>
      <c r="E289" s="345"/>
      <c r="F289" s="345"/>
      <c r="G289" s="3"/>
      <c r="H289" s="3"/>
    </row>
    <row r="290" spans="1:8" s="4" customFormat="1">
      <c r="A290" s="27"/>
      <c r="C290" s="219"/>
      <c r="D290" s="219"/>
      <c r="E290" s="345"/>
      <c r="F290" s="345"/>
      <c r="G290" s="3"/>
      <c r="H290" s="3"/>
    </row>
    <row r="291" spans="1:8" s="4" customFormat="1">
      <c r="A291" s="27"/>
      <c r="C291" s="219"/>
      <c r="D291" s="219"/>
      <c r="E291" s="345"/>
      <c r="F291" s="345"/>
      <c r="G291" s="3"/>
      <c r="H291" s="3"/>
    </row>
    <row r="292" spans="1:8" s="4" customFormat="1">
      <c r="A292" s="27"/>
      <c r="C292" s="219"/>
      <c r="D292" s="219"/>
      <c r="E292" s="345"/>
      <c r="F292" s="345"/>
      <c r="G292" s="3"/>
      <c r="H292" s="3"/>
    </row>
    <row r="293" spans="1:8" s="4" customFormat="1">
      <c r="A293" s="27"/>
      <c r="C293" s="219"/>
      <c r="D293" s="219"/>
      <c r="E293" s="345"/>
      <c r="F293" s="345"/>
      <c r="G293" s="3"/>
      <c r="H293" s="3"/>
    </row>
    <row r="294" spans="1:8" s="4" customFormat="1">
      <c r="A294" s="27"/>
      <c r="C294" s="219"/>
      <c r="D294" s="219"/>
      <c r="E294" s="345"/>
      <c r="F294" s="345"/>
      <c r="G294" s="3"/>
      <c r="H294" s="3"/>
    </row>
    <row r="295" spans="1:8" s="4" customFormat="1">
      <c r="A295" s="27"/>
      <c r="C295" s="219"/>
      <c r="D295" s="219"/>
      <c r="E295" s="345"/>
      <c r="F295" s="345"/>
      <c r="G295" s="3"/>
      <c r="H295" s="3"/>
    </row>
    <row r="296" spans="1:8" s="4" customFormat="1">
      <c r="A296" s="27"/>
      <c r="C296" s="219"/>
      <c r="D296" s="219"/>
      <c r="E296" s="345"/>
      <c r="F296" s="345"/>
      <c r="G296" s="3"/>
      <c r="H296" s="3"/>
    </row>
    <row r="297" spans="1:8" s="4" customFormat="1">
      <c r="A297" s="27"/>
      <c r="C297" s="219"/>
      <c r="D297" s="219"/>
      <c r="E297" s="345"/>
      <c r="F297" s="345"/>
      <c r="G297" s="3"/>
      <c r="H297" s="3"/>
    </row>
    <row r="298" spans="1:8" s="4" customFormat="1">
      <c r="A298" s="27"/>
      <c r="C298" s="219"/>
      <c r="D298" s="219"/>
      <c r="E298" s="345"/>
      <c r="F298" s="345"/>
      <c r="G298" s="3"/>
      <c r="H298" s="3"/>
    </row>
    <row r="299" spans="1:8" s="4" customFormat="1">
      <c r="A299" s="27"/>
      <c r="C299" s="219"/>
      <c r="D299" s="219"/>
      <c r="E299" s="345"/>
      <c r="F299" s="345"/>
      <c r="G299" s="3"/>
      <c r="H299" s="3"/>
    </row>
    <row r="300" spans="1:8" s="4" customFormat="1">
      <c r="A300" s="27"/>
      <c r="C300" s="219"/>
      <c r="D300" s="219"/>
      <c r="E300" s="345"/>
      <c r="F300" s="345"/>
      <c r="G300" s="3"/>
      <c r="H300" s="3"/>
    </row>
    <row r="301" spans="1:8" s="4" customFormat="1">
      <c r="A301" s="27"/>
      <c r="C301" s="219"/>
      <c r="D301" s="219"/>
      <c r="E301" s="345"/>
      <c r="F301" s="345"/>
      <c r="G301" s="3"/>
      <c r="H301" s="3"/>
    </row>
    <row r="302" spans="1:8" s="4" customFormat="1">
      <c r="A302" s="27"/>
      <c r="C302" s="219"/>
      <c r="D302" s="219"/>
      <c r="E302" s="345"/>
      <c r="F302" s="345"/>
      <c r="G302" s="3"/>
      <c r="H302" s="3"/>
    </row>
    <row r="303" spans="1:8" s="4" customFormat="1">
      <c r="A303" s="27"/>
      <c r="C303" s="219"/>
      <c r="D303" s="219"/>
      <c r="E303" s="345"/>
      <c r="F303" s="345"/>
      <c r="G303" s="3"/>
      <c r="H303" s="3"/>
    </row>
    <row r="304" spans="1:8" s="4" customFormat="1">
      <c r="A304" s="27"/>
      <c r="C304" s="219"/>
      <c r="D304" s="219"/>
      <c r="E304" s="345"/>
      <c r="F304" s="345"/>
      <c r="G304" s="3"/>
      <c r="H304" s="3"/>
    </row>
    <row r="305" spans="1:8" s="4" customFormat="1">
      <c r="A305" s="27"/>
      <c r="C305" s="219"/>
      <c r="D305" s="219"/>
      <c r="E305" s="345"/>
      <c r="F305" s="345"/>
      <c r="G305" s="3"/>
      <c r="H305" s="3"/>
    </row>
    <row r="306" spans="1:8" s="4" customFormat="1">
      <c r="A306" s="27"/>
      <c r="C306" s="219"/>
      <c r="D306" s="219"/>
      <c r="E306" s="345"/>
      <c r="F306" s="345"/>
      <c r="G306" s="3"/>
      <c r="H306" s="3"/>
    </row>
    <row r="307" spans="1:8" s="4" customFormat="1">
      <c r="A307" s="27"/>
      <c r="C307" s="219"/>
      <c r="D307" s="219"/>
      <c r="E307" s="345"/>
      <c r="F307" s="345"/>
      <c r="G307" s="3"/>
      <c r="H307" s="3"/>
    </row>
  </sheetData>
  <mergeCells count="16">
    <mergeCell ref="F155:G155"/>
    <mergeCell ref="F156:G156"/>
    <mergeCell ref="A2:H2"/>
    <mergeCell ref="A1:H1"/>
    <mergeCell ref="C156:D156"/>
    <mergeCell ref="C155:D155"/>
    <mergeCell ref="A69:H69"/>
    <mergeCell ref="A136:H136"/>
    <mergeCell ref="A51:H51"/>
    <mergeCell ref="A118:H118"/>
    <mergeCell ref="A127:H127"/>
    <mergeCell ref="A4:A5"/>
    <mergeCell ref="B4:B5"/>
    <mergeCell ref="A7:H7"/>
    <mergeCell ref="E4:H4"/>
    <mergeCell ref="C4:D4"/>
  </mergeCells>
  <phoneticPr fontId="3" type="noConversion"/>
  <pageMargins left="0.39370078740157483" right="0.39370078740157483" top="0.78740157480314965" bottom="0.39370078740157483" header="0.39370078740157483" footer="0.19685039370078741"/>
  <pageSetup paperSize="9" scale="72" fitToHeight="10" orientation="landscape" verticalDpi="300" r:id="rId1"/>
  <headerFooter alignWithMargins="0"/>
  <rowBreaks count="2" manualBreakCount="2">
    <brk id="68" min="7" max="7" man="1"/>
    <brk id="125" min="7" max="7" man="1"/>
  </rowBreaks>
  <ignoredErrors>
    <ignoredError sqref="B128:B135 B137:B14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2:I220"/>
  <sheetViews>
    <sheetView view="pageBreakPreview" topLeftCell="A3" zoomScaleNormal="100" zoomScaleSheetLayoutView="100" workbookViewId="0">
      <selection activeCell="D6" sqref="D6"/>
    </sheetView>
  </sheetViews>
  <sheetFormatPr defaultRowHeight="18.75"/>
  <cols>
    <col min="1" max="1" width="6.85546875" style="28" customWidth="1"/>
    <col min="2" max="2" width="54.85546875" style="28" customWidth="1"/>
    <col min="3" max="3" width="12" style="37" customWidth="1"/>
    <col min="4" max="4" width="16.140625" style="225" customWidth="1"/>
    <col min="5" max="5" width="16.7109375" style="225" customWidth="1"/>
    <col min="6" max="6" width="16.140625" style="225" customWidth="1"/>
    <col min="7" max="7" width="16.140625" style="28" customWidth="1"/>
    <col min="8" max="8" width="17.5703125" style="28" customWidth="1"/>
    <col min="9" max="9" width="9.140625" style="28"/>
    <col min="10" max="10" width="13.140625" style="28" customWidth="1"/>
    <col min="11" max="16384" width="9.140625" style="28"/>
  </cols>
  <sheetData>
    <row r="2" spans="1:8" ht="20.25">
      <c r="B2" s="503" t="s">
        <v>143</v>
      </c>
      <c r="C2" s="503"/>
      <c r="D2" s="503"/>
      <c r="E2" s="503"/>
      <c r="F2" s="503"/>
    </row>
    <row r="3" spans="1:8">
      <c r="B3" s="29"/>
      <c r="C3" s="30"/>
      <c r="D3" s="222"/>
      <c r="E3" s="222"/>
      <c r="F3" s="222"/>
      <c r="H3" s="28" t="s">
        <v>101</v>
      </c>
    </row>
    <row r="4" spans="1:8" ht="63" customHeight="1">
      <c r="A4" s="31" t="s">
        <v>114</v>
      </c>
      <c r="B4" s="32" t="s">
        <v>30</v>
      </c>
      <c r="C4" s="33" t="s">
        <v>5</v>
      </c>
      <c r="D4" s="42" t="s">
        <v>426</v>
      </c>
      <c r="E4" s="42" t="s">
        <v>424</v>
      </c>
      <c r="F4" s="42" t="s">
        <v>425</v>
      </c>
      <c r="G4" s="2" t="s">
        <v>157</v>
      </c>
      <c r="H4" s="2" t="s">
        <v>159</v>
      </c>
    </row>
    <row r="5" spans="1:8" ht="22.5" customHeight="1">
      <c r="A5" s="34">
        <v>1</v>
      </c>
      <c r="B5" s="35">
        <v>2</v>
      </c>
      <c r="C5" s="2">
        <v>3</v>
      </c>
      <c r="D5" s="223">
        <v>4</v>
      </c>
      <c r="E5" s="223">
        <v>5</v>
      </c>
      <c r="F5" s="223">
        <v>6</v>
      </c>
      <c r="G5" s="34">
        <v>7</v>
      </c>
      <c r="H5" s="34">
        <v>8</v>
      </c>
    </row>
    <row r="6" spans="1:8" ht="30.75" customHeight="1">
      <c r="A6" s="496" t="s">
        <v>113</v>
      </c>
      <c r="B6" s="497"/>
      <c r="C6" s="43"/>
      <c r="D6" s="405">
        <f>D7+D11+D24+D22</f>
        <v>64487.700000000004</v>
      </c>
      <c r="E6" s="405">
        <f>E7+E11+E24+E22</f>
        <v>77963.600000000006</v>
      </c>
      <c r="F6" s="405">
        <f>F7+F11+F24+F22</f>
        <v>80911.099999999991</v>
      </c>
      <c r="G6" s="62">
        <f t="shared" ref="G6:G8" si="0">F6-E6</f>
        <v>2947.4999999999854</v>
      </c>
      <c r="H6" s="200">
        <f t="shared" ref="H6:H8" si="1">(F6/E6)*100</f>
        <v>103.78061043871753</v>
      </c>
    </row>
    <row r="7" spans="1:8" ht="53.25" customHeight="1">
      <c r="A7" s="501" t="s">
        <v>112</v>
      </c>
      <c r="B7" s="502"/>
      <c r="C7" s="45">
        <v>1000</v>
      </c>
      <c r="D7" s="47">
        <f>D8+D9</f>
        <v>46933.7</v>
      </c>
      <c r="E7" s="47">
        <f>E8+E9</f>
        <v>57657.2</v>
      </c>
      <c r="F7" s="47">
        <f>F8+F9+F10</f>
        <v>57202.2</v>
      </c>
      <c r="G7" s="62">
        <f t="shared" si="0"/>
        <v>-455</v>
      </c>
      <c r="H7" s="200">
        <f t="shared" si="1"/>
        <v>99.210853111146562</v>
      </c>
    </row>
    <row r="8" spans="1:8" ht="42" customHeight="1">
      <c r="A8" s="48">
        <v>1</v>
      </c>
      <c r="B8" s="49" t="s">
        <v>177</v>
      </c>
      <c r="C8" s="43"/>
      <c r="D8" s="50">
        <v>46520.6</v>
      </c>
      <c r="E8" s="50">
        <v>57057.2</v>
      </c>
      <c r="F8" s="50">
        <v>56822.7</v>
      </c>
      <c r="G8" s="64">
        <f t="shared" si="0"/>
        <v>-234.5</v>
      </c>
      <c r="H8" s="201">
        <f t="shared" si="1"/>
        <v>99.589008924377637</v>
      </c>
    </row>
    <row r="9" spans="1:8" ht="27.75" customHeight="1">
      <c r="A9" s="56">
        <v>2</v>
      </c>
      <c r="B9" s="49" t="s">
        <v>318</v>
      </c>
      <c r="C9" s="43"/>
      <c r="D9" s="50">
        <v>413.1</v>
      </c>
      <c r="E9" s="50">
        <v>600</v>
      </c>
      <c r="F9" s="50">
        <v>379.5</v>
      </c>
      <c r="G9" s="64">
        <f t="shared" ref="G9:G27" si="2">F9-E9</f>
        <v>-220.5</v>
      </c>
      <c r="H9" s="469">
        <f t="shared" ref="H9:H27" si="3">(F9/E9)*100</f>
        <v>63.249999999999993</v>
      </c>
    </row>
    <row r="10" spans="1:8" ht="37.5" hidden="1" customHeight="1">
      <c r="A10" s="56">
        <v>3</v>
      </c>
      <c r="B10" s="49" t="s">
        <v>343</v>
      </c>
      <c r="C10" s="43"/>
      <c r="D10" s="50"/>
      <c r="E10" s="47"/>
      <c r="F10" s="50"/>
      <c r="G10" s="64">
        <f t="shared" si="2"/>
        <v>0</v>
      </c>
      <c r="H10" s="202" t="e">
        <f t="shared" si="3"/>
        <v>#DIV/0!</v>
      </c>
    </row>
    <row r="11" spans="1:8" ht="30.75" customHeight="1">
      <c r="A11" s="504" t="s">
        <v>51</v>
      </c>
      <c r="B11" s="506"/>
      <c r="C11" s="45">
        <v>1042</v>
      </c>
      <c r="D11" s="47">
        <f>SUM(D12:D21)</f>
        <v>16761.600000000002</v>
      </c>
      <c r="E11" s="47">
        <f>SUM(E12:E21)</f>
        <v>19566.8</v>
      </c>
      <c r="F11" s="47">
        <f>SUM(F12:F21)</f>
        <v>22408.100000000002</v>
      </c>
      <c r="G11" s="62">
        <f t="shared" si="2"/>
        <v>2841.3000000000029</v>
      </c>
      <c r="H11" s="200">
        <f t="shared" si="3"/>
        <v>114.52102541038904</v>
      </c>
    </row>
    <row r="12" spans="1:8" ht="42" customHeight="1">
      <c r="A12" s="48">
        <v>1</v>
      </c>
      <c r="B12" s="52" t="s">
        <v>473</v>
      </c>
      <c r="C12" s="43"/>
      <c r="D12" s="50">
        <v>3.9</v>
      </c>
      <c r="E12" s="50"/>
      <c r="F12" s="50">
        <v>31</v>
      </c>
      <c r="G12" s="64">
        <f t="shared" si="2"/>
        <v>31</v>
      </c>
      <c r="H12" s="468" t="e">
        <f t="shared" si="3"/>
        <v>#DIV/0!</v>
      </c>
    </row>
    <row r="13" spans="1:8" ht="79.5" customHeight="1">
      <c r="A13" s="48">
        <v>2</v>
      </c>
      <c r="B13" s="54" t="s">
        <v>179</v>
      </c>
      <c r="C13" s="43"/>
      <c r="D13" s="50">
        <v>6.9</v>
      </c>
      <c r="E13" s="50">
        <v>22</v>
      </c>
      <c r="F13" s="50">
        <v>2.2000000000000002</v>
      </c>
      <c r="G13" s="64">
        <f t="shared" si="2"/>
        <v>-19.8</v>
      </c>
      <c r="H13" s="201">
        <f t="shared" si="3"/>
        <v>10</v>
      </c>
    </row>
    <row r="14" spans="1:8" ht="40.5" customHeight="1">
      <c r="A14" s="48">
        <v>3</v>
      </c>
      <c r="B14" s="49" t="s">
        <v>180</v>
      </c>
      <c r="C14" s="43"/>
      <c r="D14" s="50">
        <v>5257.9</v>
      </c>
      <c r="E14" s="50">
        <v>5538.8</v>
      </c>
      <c r="F14" s="50">
        <v>4564.3</v>
      </c>
      <c r="G14" s="203">
        <f t="shared" si="2"/>
        <v>-974.5</v>
      </c>
      <c r="H14" s="201">
        <f t="shared" si="3"/>
        <v>82.405936303892531</v>
      </c>
    </row>
    <row r="15" spans="1:8" ht="40.5" customHeight="1">
      <c r="A15" s="48">
        <v>4</v>
      </c>
      <c r="B15" s="49" t="s">
        <v>474</v>
      </c>
      <c r="C15" s="43"/>
      <c r="D15" s="50"/>
      <c r="E15" s="50"/>
      <c r="F15" s="50">
        <v>942</v>
      </c>
      <c r="G15" s="203">
        <f t="shared" si="2"/>
        <v>942</v>
      </c>
      <c r="H15" s="218" t="e">
        <f t="shared" si="3"/>
        <v>#DIV/0!</v>
      </c>
    </row>
    <row r="16" spans="1:8" ht="57" customHeight="1">
      <c r="A16" s="48">
        <v>5</v>
      </c>
      <c r="B16" s="52" t="s">
        <v>181</v>
      </c>
      <c r="C16" s="43"/>
      <c r="D16" s="50">
        <v>155.19999999999999</v>
      </c>
      <c r="E16" s="50">
        <v>271.2</v>
      </c>
      <c r="F16" s="50"/>
      <c r="G16" s="64">
        <f t="shared" si="2"/>
        <v>-271.2</v>
      </c>
      <c r="H16" s="201">
        <f t="shared" si="3"/>
        <v>0</v>
      </c>
    </row>
    <row r="17" spans="1:8" ht="66" customHeight="1">
      <c r="A17" s="48">
        <v>6</v>
      </c>
      <c r="B17" s="49" t="s">
        <v>353</v>
      </c>
      <c r="C17" s="43"/>
      <c r="D17" s="50">
        <v>11229.6</v>
      </c>
      <c r="E17" s="50">
        <v>13524.9</v>
      </c>
      <c r="F17" s="50">
        <v>16602.5</v>
      </c>
      <c r="G17" s="203">
        <f t="shared" si="2"/>
        <v>3077.6000000000004</v>
      </c>
      <c r="H17" s="201">
        <f t="shared" si="3"/>
        <v>122.75506658089894</v>
      </c>
    </row>
    <row r="18" spans="1:8" ht="44.25" customHeight="1">
      <c r="A18" s="48">
        <v>7</v>
      </c>
      <c r="B18" s="55" t="s">
        <v>182</v>
      </c>
      <c r="C18" s="43"/>
      <c r="D18" s="50">
        <v>4.9000000000000004</v>
      </c>
      <c r="E18" s="50"/>
      <c r="F18" s="50">
        <v>126.3</v>
      </c>
      <c r="G18" s="203">
        <f t="shared" si="2"/>
        <v>126.3</v>
      </c>
      <c r="H18" s="218" t="e">
        <f t="shared" si="3"/>
        <v>#DIV/0!</v>
      </c>
    </row>
    <row r="19" spans="1:8" ht="39.75" customHeight="1">
      <c r="A19" s="48">
        <v>8</v>
      </c>
      <c r="B19" s="49" t="s">
        <v>183</v>
      </c>
      <c r="C19" s="43"/>
      <c r="D19" s="50">
        <v>97.2</v>
      </c>
      <c r="E19" s="50">
        <v>206.6</v>
      </c>
      <c r="F19" s="50">
        <v>124.9</v>
      </c>
      <c r="G19" s="203">
        <f t="shared" si="2"/>
        <v>-81.699999999999989</v>
      </c>
      <c r="H19" s="201">
        <f t="shared" si="3"/>
        <v>60.454985479186838</v>
      </c>
    </row>
    <row r="20" spans="1:8" ht="30.75" customHeight="1">
      <c r="A20" s="48">
        <v>9</v>
      </c>
      <c r="B20" s="55" t="s">
        <v>184</v>
      </c>
      <c r="C20" s="43"/>
      <c r="D20" s="50">
        <v>5.5</v>
      </c>
      <c r="E20" s="50"/>
      <c r="F20" s="50"/>
      <c r="G20" s="64">
        <f t="shared" si="2"/>
        <v>0</v>
      </c>
      <c r="H20" s="218" t="e">
        <f t="shared" si="3"/>
        <v>#DIV/0!</v>
      </c>
    </row>
    <row r="21" spans="1:8" ht="44.25" customHeight="1">
      <c r="A21" s="48">
        <v>10</v>
      </c>
      <c r="B21" s="49" t="s">
        <v>185</v>
      </c>
      <c r="C21" s="43"/>
      <c r="D21" s="50">
        <v>0.5</v>
      </c>
      <c r="E21" s="50">
        <v>3.3</v>
      </c>
      <c r="F21" s="50">
        <v>14.9</v>
      </c>
      <c r="G21" s="64">
        <f t="shared" si="2"/>
        <v>11.600000000000001</v>
      </c>
      <c r="H21" s="201">
        <f t="shared" si="3"/>
        <v>451.51515151515156</v>
      </c>
    </row>
    <row r="22" spans="1:8" ht="35.25" customHeight="1">
      <c r="A22" s="504" t="s">
        <v>115</v>
      </c>
      <c r="B22" s="505"/>
      <c r="C22" s="45">
        <v>1130</v>
      </c>
      <c r="D22" s="47">
        <f>SUM(D23)</f>
        <v>255.4</v>
      </c>
      <c r="E22" s="47">
        <f>E23</f>
        <v>320</v>
      </c>
      <c r="F22" s="47">
        <f>F23</f>
        <v>840.9</v>
      </c>
      <c r="G22" s="62">
        <f t="shared" si="2"/>
        <v>520.9</v>
      </c>
      <c r="H22" s="200">
        <f t="shared" si="3"/>
        <v>262.78125</v>
      </c>
    </row>
    <row r="23" spans="1:8" ht="39" customHeight="1">
      <c r="A23" s="57">
        <v>1</v>
      </c>
      <c r="B23" s="49" t="s">
        <v>302</v>
      </c>
      <c r="C23" s="43"/>
      <c r="D23" s="50">
        <v>255.4</v>
      </c>
      <c r="E23" s="47">
        <v>320</v>
      </c>
      <c r="F23" s="50">
        <v>840.9</v>
      </c>
      <c r="G23" s="64">
        <f t="shared" si="2"/>
        <v>520.9</v>
      </c>
      <c r="H23" s="201">
        <f t="shared" si="3"/>
        <v>262.78125</v>
      </c>
    </row>
    <row r="24" spans="1:8" s="36" customFormat="1" ht="39" customHeight="1">
      <c r="A24" s="504" t="s">
        <v>34</v>
      </c>
      <c r="B24" s="505"/>
      <c r="C24" s="45">
        <v>1150</v>
      </c>
      <c r="D24" s="47">
        <f>D25+D26+D27</f>
        <v>537</v>
      </c>
      <c r="E24" s="47">
        <f>E25+E26+E27</f>
        <v>419.6</v>
      </c>
      <c r="F24" s="47">
        <f>SUM(F25:F26)+F27</f>
        <v>459.9</v>
      </c>
      <c r="G24" s="46">
        <f t="shared" si="2"/>
        <v>40.299999999999955</v>
      </c>
      <c r="H24" s="46">
        <f t="shared" si="3"/>
        <v>109.60438512869399</v>
      </c>
    </row>
    <row r="25" spans="1:8" s="36" customFormat="1" ht="39" customHeight="1">
      <c r="A25" s="48">
        <v>1</v>
      </c>
      <c r="B25" s="182" t="s">
        <v>186</v>
      </c>
      <c r="C25" s="45"/>
      <c r="D25" s="50">
        <f>530.1+6.5</f>
        <v>536.6</v>
      </c>
      <c r="E25" s="50">
        <v>419.6</v>
      </c>
      <c r="F25" s="50">
        <v>423.1</v>
      </c>
      <c r="G25" s="64">
        <f t="shared" si="2"/>
        <v>3.5</v>
      </c>
      <c r="H25" s="201">
        <f t="shared" si="3"/>
        <v>100.83412774070544</v>
      </c>
    </row>
    <row r="26" spans="1:8" s="36" customFormat="1" ht="37.5" customHeight="1">
      <c r="A26" s="48">
        <v>2</v>
      </c>
      <c r="B26" s="182" t="s">
        <v>187</v>
      </c>
      <c r="C26" s="45"/>
      <c r="D26" s="50"/>
      <c r="E26" s="50"/>
      <c r="F26" s="50">
        <v>21.9</v>
      </c>
      <c r="G26" s="64">
        <f t="shared" si="2"/>
        <v>21.9</v>
      </c>
      <c r="H26" s="218" t="e">
        <f t="shared" si="3"/>
        <v>#DIV/0!</v>
      </c>
    </row>
    <row r="27" spans="1:8" s="36" customFormat="1" ht="29.25" customHeight="1">
      <c r="A27" s="48">
        <v>3</v>
      </c>
      <c r="B27" s="49" t="s">
        <v>502</v>
      </c>
      <c r="C27" s="45"/>
      <c r="D27" s="50">
        <v>0.4</v>
      </c>
      <c r="E27" s="47"/>
      <c r="F27" s="50">
        <v>14.9</v>
      </c>
      <c r="G27" s="64">
        <f t="shared" si="2"/>
        <v>14.9</v>
      </c>
      <c r="H27" s="218" t="e">
        <f t="shared" si="3"/>
        <v>#DIV/0!</v>
      </c>
    </row>
    <row r="28" spans="1:8" s="36" customFormat="1" ht="29.25" customHeight="1">
      <c r="A28" s="496" t="s">
        <v>116</v>
      </c>
      <c r="B28" s="497"/>
      <c r="C28" s="45"/>
      <c r="D28" s="47"/>
      <c r="E28" s="47"/>
      <c r="F28" s="47"/>
      <c r="G28" s="62"/>
      <c r="H28" s="62"/>
    </row>
    <row r="29" spans="1:8" s="36" customFormat="1" ht="42.75" customHeight="1">
      <c r="A29" s="501" t="s">
        <v>331</v>
      </c>
      <c r="B29" s="502"/>
      <c r="C29" s="45">
        <v>1010</v>
      </c>
      <c r="D29" s="50"/>
      <c r="E29" s="47"/>
      <c r="F29" s="47"/>
      <c r="G29" s="62"/>
      <c r="H29" s="62"/>
    </row>
    <row r="30" spans="1:8" s="36" customFormat="1" ht="32.25" customHeight="1">
      <c r="A30" s="498" t="s">
        <v>332</v>
      </c>
      <c r="B30" s="499"/>
      <c r="C30" s="45">
        <v>1011</v>
      </c>
      <c r="D30" s="47">
        <f>SUM(D31:D53)</f>
        <v>10934.399999999998</v>
      </c>
      <c r="E30" s="47">
        <f>SUM(E31:E53)</f>
        <v>12430.5</v>
      </c>
      <c r="F30" s="47">
        <f>SUM(F31:F53)</f>
        <v>8624.8000000000011</v>
      </c>
      <c r="G30" s="62">
        <f t="shared" ref="G30:G32" si="4">F30-E30</f>
        <v>-3805.6999999999989</v>
      </c>
      <c r="H30" s="200">
        <f t="shared" ref="H30:H32" si="5">(F30/E30)*100</f>
        <v>69.38417601866378</v>
      </c>
    </row>
    <row r="31" spans="1:8" s="36" customFormat="1" ht="21" customHeight="1">
      <c r="A31" s="58"/>
      <c r="B31" s="58" t="s">
        <v>273</v>
      </c>
      <c r="C31" s="45"/>
      <c r="D31" s="50">
        <v>83.7</v>
      </c>
      <c r="E31" s="50">
        <v>40</v>
      </c>
      <c r="F31" s="50">
        <f>20.1+16.3+148.6+87.8</f>
        <v>272.8</v>
      </c>
      <c r="G31" s="64">
        <f t="shared" ref="G31" si="6">F31-E31</f>
        <v>232.8</v>
      </c>
      <c r="H31" s="201">
        <f t="shared" ref="H31" si="7">(F31/E31)*100</f>
        <v>682</v>
      </c>
    </row>
    <row r="32" spans="1:8" s="36" customFormat="1" ht="22.5" customHeight="1">
      <c r="A32" s="58"/>
      <c r="B32" s="58" t="s">
        <v>189</v>
      </c>
      <c r="C32" s="45"/>
      <c r="D32" s="50">
        <v>202.8</v>
      </c>
      <c r="E32" s="50">
        <v>350</v>
      </c>
      <c r="F32" s="50">
        <f>79.3+6+2.3</f>
        <v>87.6</v>
      </c>
      <c r="G32" s="64">
        <f t="shared" si="4"/>
        <v>-262.39999999999998</v>
      </c>
      <c r="H32" s="201">
        <f t="shared" si="5"/>
        <v>25.028571428571428</v>
      </c>
    </row>
    <row r="33" spans="1:8" s="36" customFormat="1" ht="22.5" customHeight="1">
      <c r="A33" s="58"/>
      <c r="B33" s="58" t="s">
        <v>303</v>
      </c>
      <c r="C33" s="45"/>
      <c r="D33" s="50">
        <f>234+4770.6</f>
        <v>5004.6000000000004</v>
      </c>
      <c r="E33" s="50">
        <v>5330</v>
      </c>
      <c r="F33" s="50">
        <f>233.9+2814.2</f>
        <v>3048.1</v>
      </c>
      <c r="G33" s="64">
        <f t="shared" ref="G33:G96" si="8">F33-E33</f>
        <v>-2281.9</v>
      </c>
      <c r="H33" s="201">
        <f t="shared" ref="H33:H96" si="9">(F33/E33)*100</f>
        <v>57.187617260787995</v>
      </c>
    </row>
    <row r="34" spans="1:8" s="36" customFormat="1" ht="38.25" customHeight="1">
      <c r="A34" s="59"/>
      <c r="B34" s="59" t="s">
        <v>304</v>
      </c>
      <c r="C34" s="45"/>
      <c r="D34" s="50">
        <f>853.6+910.4+3.9</f>
        <v>1767.9</v>
      </c>
      <c r="E34" s="50">
        <v>2513.6999999999998</v>
      </c>
      <c r="F34" s="50">
        <f>780.2+1.1+31+517.2+17.6</f>
        <v>1347.1</v>
      </c>
      <c r="G34" s="64">
        <f t="shared" si="8"/>
        <v>-1166.5999999999999</v>
      </c>
      <c r="H34" s="201">
        <f t="shared" si="9"/>
        <v>53.590325018896444</v>
      </c>
    </row>
    <row r="35" spans="1:8" s="36" customFormat="1" ht="22.5" customHeight="1">
      <c r="A35" s="59"/>
      <c r="B35" s="59" t="s">
        <v>190</v>
      </c>
      <c r="C35" s="45"/>
      <c r="D35" s="50">
        <f>870+351.1+34.4+2+3.2</f>
        <v>1260.7</v>
      </c>
      <c r="E35" s="50">
        <v>150</v>
      </c>
      <c r="F35" s="50">
        <f>195.5+262.7+266.3+18.4</f>
        <v>742.9</v>
      </c>
      <c r="G35" s="64">
        <f t="shared" si="8"/>
        <v>592.9</v>
      </c>
      <c r="H35" s="201">
        <f t="shared" si="9"/>
        <v>495.26666666666665</v>
      </c>
    </row>
    <row r="36" spans="1:8">
      <c r="A36" s="59"/>
      <c r="B36" s="60" t="s">
        <v>191</v>
      </c>
      <c r="C36" s="45"/>
      <c r="D36" s="50">
        <v>50.3</v>
      </c>
      <c r="E36" s="50">
        <v>75</v>
      </c>
      <c r="F36" s="50">
        <f>95.4</f>
        <v>95.4</v>
      </c>
      <c r="G36" s="64">
        <f t="shared" si="8"/>
        <v>20.400000000000006</v>
      </c>
      <c r="H36" s="201">
        <f t="shared" si="9"/>
        <v>127.2</v>
      </c>
    </row>
    <row r="37" spans="1:8" ht="24.75" customHeight="1">
      <c r="A37" s="59"/>
      <c r="B37" s="60" t="s">
        <v>192</v>
      </c>
      <c r="C37" s="45"/>
      <c r="D37" s="50">
        <v>22.4</v>
      </c>
      <c r="E37" s="50">
        <v>37</v>
      </c>
      <c r="F37" s="50">
        <f>20.6+0.1</f>
        <v>20.700000000000003</v>
      </c>
      <c r="G37" s="64">
        <f t="shared" si="8"/>
        <v>-16.299999999999997</v>
      </c>
      <c r="H37" s="201">
        <f t="shared" si="9"/>
        <v>55.945945945945951</v>
      </c>
    </row>
    <row r="38" spans="1:8">
      <c r="A38" s="59"/>
      <c r="B38" s="60" t="s">
        <v>193</v>
      </c>
      <c r="C38" s="45"/>
      <c r="D38" s="50">
        <v>1.3</v>
      </c>
      <c r="E38" s="50">
        <v>8</v>
      </c>
      <c r="F38" s="50">
        <f>1.4</f>
        <v>1.4</v>
      </c>
      <c r="G38" s="64">
        <f t="shared" si="8"/>
        <v>-6.6</v>
      </c>
      <c r="H38" s="201">
        <f t="shared" si="9"/>
        <v>17.5</v>
      </c>
    </row>
    <row r="39" spans="1:8">
      <c r="A39" s="59"/>
      <c r="B39" s="60" t="s">
        <v>194</v>
      </c>
      <c r="C39" s="45"/>
      <c r="D39" s="50">
        <v>47.8</v>
      </c>
      <c r="E39" s="50">
        <v>88</v>
      </c>
      <c r="F39" s="50">
        <f>47.2</f>
        <v>47.2</v>
      </c>
      <c r="G39" s="64">
        <f t="shared" si="8"/>
        <v>-40.799999999999997</v>
      </c>
      <c r="H39" s="201">
        <f t="shared" si="9"/>
        <v>53.63636363636364</v>
      </c>
    </row>
    <row r="40" spans="1:8">
      <c r="A40" s="59"/>
      <c r="B40" s="60" t="s">
        <v>195</v>
      </c>
      <c r="C40" s="45"/>
      <c r="D40" s="50">
        <v>159.5</v>
      </c>
      <c r="E40" s="50">
        <v>240</v>
      </c>
      <c r="F40" s="50">
        <f>168</f>
        <v>168</v>
      </c>
      <c r="G40" s="64">
        <f t="shared" si="8"/>
        <v>-72</v>
      </c>
      <c r="H40" s="201">
        <f t="shared" si="9"/>
        <v>70</v>
      </c>
    </row>
    <row r="41" spans="1:8">
      <c r="A41" s="59"/>
      <c r="B41" s="60" t="s">
        <v>196</v>
      </c>
      <c r="C41" s="45"/>
      <c r="D41" s="50">
        <v>1.4</v>
      </c>
      <c r="E41" s="50">
        <v>1.5</v>
      </c>
      <c r="F41" s="50">
        <f>1.5</f>
        <v>1.5</v>
      </c>
      <c r="G41" s="64">
        <f t="shared" si="8"/>
        <v>0</v>
      </c>
      <c r="H41" s="201">
        <f t="shared" si="9"/>
        <v>100</v>
      </c>
    </row>
    <row r="42" spans="1:8">
      <c r="A42" s="59"/>
      <c r="B42" s="60" t="s">
        <v>197</v>
      </c>
      <c r="C42" s="45"/>
      <c r="D42" s="50">
        <v>23.2</v>
      </c>
      <c r="E42" s="50">
        <v>80</v>
      </c>
      <c r="F42" s="50">
        <f>22.8</f>
        <v>22.8</v>
      </c>
      <c r="G42" s="64">
        <f t="shared" si="8"/>
        <v>-57.2</v>
      </c>
      <c r="H42" s="201">
        <f t="shared" si="9"/>
        <v>28.500000000000004</v>
      </c>
    </row>
    <row r="43" spans="1:8" ht="37.5">
      <c r="A43" s="59"/>
      <c r="B43" s="55" t="s">
        <v>198</v>
      </c>
      <c r="C43" s="45"/>
      <c r="D43" s="50">
        <v>75.8</v>
      </c>
      <c r="E43" s="50">
        <v>175</v>
      </c>
      <c r="F43" s="50">
        <f>57.1+0.2</f>
        <v>57.300000000000004</v>
      </c>
      <c r="G43" s="64">
        <f t="shared" si="8"/>
        <v>-117.69999999999999</v>
      </c>
      <c r="H43" s="201">
        <f t="shared" si="9"/>
        <v>32.742857142857147</v>
      </c>
    </row>
    <row r="44" spans="1:8">
      <c r="A44" s="59"/>
      <c r="B44" s="55" t="s">
        <v>199</v>
      </c>
      <c r="C44" s="45"/>
      <c r="D44" s="50">
        <f>281.1+46.9</f>
        <v>328</v>
      </c>
      <c r="E44" s="50">
        <v>243</v>
      </c>
      <c r="F44" s="50">
        <f>16+2.3</f>
        <v>18.3</v>
      </c>
      <c r="G44" s="64">
        <f t="shared" si="8"/>
        <v>-224.7</v>
      </c>
      <c r="H44" s="201">
        <f t="shared" si="9"/>
        <v>7.5308641975308648</v>
      </c>
    </row>
    <row r="45" spans="1:8">
      <c r="A45" s="59"/>
      <c r="B45" s="55" t="s">
        <v>305</v>
      </c>
      <c r="C45" s="45"/>
      <c r="D45" s="50"/>
      <c r="E45" s="50">
        <v>86.5</v>
      </c>
      <c r="F45" s="50"/>
      <c r="G45" s="64">
        <f t="shared" si="8"/>
        <v>-86.5</v>
      </c>
      <c r="H45" s="201">
        <f t="shared" si="9"/>
        <v>0</v>
      </c>
    </row>
    <row r="46" spans="1:8">
      <c r="A46" s="59"/>
      <c r="B46" s="61" t="s">
        <v>200</v>
      </c>
      <c r="C46" s="45"/>
      <c r="D46" s="50">
        <f>1008.8+81.1</f>
        <v>1089.8999999999999</v>
      </c>
      <c r="E46" s="50">
        <v>1769.5</v>
      </c>
      <c r="F46" s="50">
        <f>1196.5+103.4</f>
        <v>1299.9000000000001</v>
      </c>
      <c r="G46" s="64">
        <f t="shared" si="8"/>
        <v>-469.59999999999991</v>
      </c>
      <c r="H46" s="201">
        <f t="shared" si="9"/>
        <v>73.461429782424418</v>
      </c>
    </row>
    <row r="47" spans="1:8">
      <c r="A47" s="59"/>
      <c r="B47" s="61" t="s">
        <v>201</v>
      </c>
      <c r="C47" s="45"/>
      <c r="D47" s="50">
        <f>30.6+6.6</f>
        <v>37.200000000000003</v>
      </c>
      <c r="E47" s="50">
        <v>38.1</v>
      </c>
      <c r="F47" s="50">
        <f>29+7.9</f>
        <v>36.9</v>
      </c>
      <c r="G47" s="64">
        <f t="shared" si="8"/>
        <v>-1.2000000000000028</v>
      </c>
      <c r="H47" s="201">
        <f t="shared" si="9"/>
        <v>96.850393700787393</v>
      </c>
    </row>
    <row r="48" spans="1:8">
      <c r="A48" s="59"/>
      <c r="B48" s="61" t="s">
        <v>202</v>
      </c>
      <c r="C48" s="45"/>
      <c r="D48" s="50">
        <f>597.7+13.8</f>
        <v>611.5</v>
      </c>
      <c r="E48" s="50">
        <v>790.5</v>
      </c>
      <c r="F48" s="50">
        <f>923.9+32</f>
        <v>955.9</v>
      </c>
      <c r="G48" s="64">
        <f t="shared" si="8"/>
        <v>165.39999999999998</v>
      </c>
      <c r="H48" s="201">
        <f t="shared" si="9"/>
        <v>120.92346616065781</v>
      </c>
    </row>
    <row r="49" spans="1:8">
      <c r="A49" s="59"/>
      <c r="B49" s="55" t="s">
        <v>203</v>
      </c>
      <c r="C49" s="45"/>
      <c r="D49" s="50">
        <v>144.80000000000001</v>
      </c>
      <c r="E49" s="50">
        <v>229.3</v>
      </c>
      <c r="F49" s="50">
        <f>282.6</f>
        <v>282.60000000000002</v>
      </c>
      <c r="G49" s="64">
        <f t="shared" si="8"/>
        <v>53.300000000000011</v>
      </c>
      <c r="H49" s="201">
        <f t="shared" si="9"/>
        <v>123.24465765372874</v>
      </c>
    </row>
    <row r="50" spans="1:8">
      <c r="A50" s="59"/>
      <c r="B50" s="55" t="s">
        <v>204</v>
      </c>
      <c r="C50" s="45"/>
      <c r="D50" s="50">
        <f>17.4+1.3</f>
        <v>18.7</v>
      </c>
      <c r="E50" s="50">
        <v>20.5</v>
      </c>
      <c r="F50" s="50">
        <f>29.7+2.4</f>
        <v>32.1</v>
      </c>
      <c r="G50" s="64">
        <f t="shared" si="8"/>
        <v>11.600000000000001</v>
      </c>
      <c r="H50" s="201">
        <f t="shared" si="9"/>
        <v>156.58536585365854</v>
      </c>
    </row>
    <row r="51" spans="1:8">
      <c r="A51" s="59"/>
      <c r="B51" s="89" t="s">
        <v>205</v>
      </c>
      <c r="C51" s="45"/>
      <c r="D51" s="50">
        <v>1</v>
      </c>
      <c r="E51" s="50">
        <v>104.8</v>
      </c>
      <c r="F51" s="50">
        <v>68.099999999999994</v>
      </c>
      <c r="G51" s="64">
        <f t="shared" si="8"/>
        <v>-36.700000000000003</v>
      </c>
      <c r="H51" s="201">
        <f t="shared" si="9"/>
        <v>64.98091603053436</v>
      </c>
    </row>
    <row r="52" spans="1:8" ht="37.5">
      <c r="A52" s="59"/>
      <c r="B52" s="89" t="s">
        <v>431</v>
      </c>
      <c r="C52" s="45"/>
      <c r="D52" s="50"/>
      <c r="E52" s="50">
        <v>58.1</v>
      </c>
      <c r="F52" s="50">
        <v>18.2</v>
      </c>
      <c r="G52" s="64">
        <f t="shared" si="8"/>
        <v>-39.900000000000006</v>
      </c>
      <c r="H52" s="201">
        <f t="shared" si="9"/>
        <v>31.325301204819272</v>
      </c>
    </row>
    <row r="53" spans="1:8" ht="21" customHeight="1">
      <c r="A53" s="59"/>
      <c r="B53" s="95" t="s">
        <v>319</v>
      </c>
      <c r="C53" s="45"/>
      <c r="D53" s="50">
        <v>1.9</v>
      </c>
      <c r="E53" s="50">
        <v>2</v>
      </c>
      <c r="F53" s="50"/>
      <c r="G53" s="64">
        <f t="shared" si="8"/>
        <v>-2</v>
      </c>
      <c r="H53" s="201">
        <f t="shared" si="9"/>
        <v>0</v>
      </c>
    </row>
    <row r="54" spans="1:8" ht="25.5" customHeight="1">
      <c r="A54" s="498" t="s">
        <v>117</v>
      </c>
      <c r="B54" s="499"/>
      <c r="C54" s="45">
        <v>1015</v>
      </c>
      <c r="D54" s="47">
        <f>SUM(D55:D95)</f>
        <v>1205.3999999999999</v>
      </c>
      <c r="E54" s="47">
        <f>SUM(E55:E94)</f>
        <v>1033.5</v>
      </c>
      <c r="F54" s="47">
        <f>SUM(F55:F94)</f>
        <v>795.7</v>
      </c>
      <c r="G54" s="62">
        <f t="shared" si="8"/>
        <v>-237.79999999999995</v>
      </c>
      <c r="H54" s="200">
        <f t="shared" si="9"/>
        <v>76.99080793420417</v>
      </c>
    </row>
    <row r="55" spans="1:8">
      <c r="A55" s="45"/>
      <c r="B55" s="60" t="s">
        <v>221</v>
      </c>
      <c r="C55" s="45"/>
      <c r="D55" s="50">
        <v>92</v>
      </c>
      <c r="E55" s="50"/>
      <c r="F55" s="50"/>
      <c r="G55" s="64">
        <f t="shared" si="8"/>
        <v>0</v>
      </c>
      <c r="H55" s="218" t="e">
        <f t="shared" si="9"/>
        <v>#DIV/0!</v>
      </c>
    </row>
    <row r="56" spans="1:8">
      <c r="A56" s="45"/>
      <c r="B56" s="60" t="s">
        <v>206</v>
      </c>
      <c r="C56" s="45"/>
      <c r="D56" s="50">
        <v>58.8</v>
      </c>
      <c r="E56" s="50">
        <v>80</v>
      </c>
      <c r="F56" s="50"/>
      <c r="G56" s="64">
        <f t="shared" si="8"/>
        <v>-80</v>
      </c>
      <c r="H56" s="201">
        <f t="shared" si="9"/>
        <v>0</v>
      </c>
    </row>
    <row r="57" spans="1:8" ht="37.5">
      <c r="A57" s="45"/>
      <c r="B57" s="55" t="s">
        <v>207</v>
      </c>
      <c r="C57" s="45"/>
      <c r="D57" s="50">
        <v>38.200000000000003</v>
      </c>
      <c r="E57" s="50">
        <v>40</v>
      </c>
      <c r="F57" s="50">
        <f>70.1</f>
        <v>70.099999999999994</v>
      </c>
      <c r="G57" s="64">
        <f t="shared" si="8"/>
        <v>30.099999999999994</v>
      </c>
      <c r="H57" s="201">
        <f t="shared" si="9"/>
        <v>175.25</v>
      </c>
    </row>
    <row r="58" spans="1:8">
      <c r="A58" s="45"/>
      <c r="B58" s="60" t="s">
        <v>208</v>
      </c>
      <c r="C58" s="45"/>
      <c r="D58" s="50">
        <v>36.5</v>
      </c>
      <c r="E58" s="50">
        <v>70</v>
      </c>
      <c r="F58" s="50">
        <f>20.5</f>
        <v>20.5</v>
      </c>
      <c r="G58" s="64">
        <f t="shared" si="8"/>
        <v>-49.5</v>
      </c>
      <c r="H58" s="201">
        <f t="shared" si="9"/>
        <v>29.285714285714288</v>
      </c>
    </row>
    <row r="59" spans="1:8">
      <c r="A59" s="45"/>
      <c r="B59" s="60" t="s">
        <v>209</v>
      </c>
      <c r="C59" s="45"/>
      <c r="D59" s="50">
        <v>111.5</v>
      </c>
      <c r="E59" s="50">
        <v>60</v>
      </c>
      <c r="F59" s="50">
        <f>54.5</f>
        <v>54.5</v>
      </c>
      <c r="G59" s="64">
        <f t="shared" si="8"/>
        <v>-5.5</v>
      </c>
      <c r="H59" s="201">
        <f t="shared" si="9"/>
        <v>90.833333333333329</v>
      </c>
    </row>
    <row r="60" spans="1:8">
      <c r="A60" s="45"/>
      <c r="B60" s="60" t="s">
        <v>210</v>
      </c>
      <c r="C60" s="45"/>
      <c r="D60" s="50">
        <v>10.5</v>
      </c>
      <c r="E60" s="50">
        <v>8</v>
      </c>
      <c r="F60" s="50">
        <f>13.4</f>
        <v>13.4</v>
      </c>
      <c r="G60" s="64">
        <f t="shared" si="8"/>
        <v>5.4</v>
      </c>
      <c r="H60" s="201">
        <f t="shared" si="9"/>
        <v>167.5</v>
      </c>
    </row>
    <row r="61" spans="1:8">
      <c r="A61" s="45"/>
      <c r="B61" s="60" t="s">
        <v>211</v>
      </c>
      <c r="C61" s="45"/>
      <c r="D61" s="50">
        <v>58.8</v>
      </c>
      <c r="E61" s="50">
        <v>60</v>
      </c>
      <c r="F61" s="50">
        <f>66.3</f>
        <v>66.3</v>
      </c>
      <c r="G61" s="64">
        <f t="shared" si="8"/>
        <v>6.2999999999999972</v>
      </c>
      <c r="H61" s="201">
        <f t="shared" si="9"/>
        <v>110.5</v>
      </c>
    </row>
    <row r="62" spans="1:8">
      <c r="A62" s="45"/>
      <c r="B62" s="55" t="s">
        <v>212</v>
      </c>
      <c r="C62" s="45"/>
      <c r="D62" s="50">
        <f>16.9+84.5</f>
        <v>101.4</v>
      </c>
      <c r="E62" s="50">
        <v>100.4</v>
      </c>
      <c r="F62" s="50">
        <f>74.3+36.4</f>
        <v>110.69999999999999</v>
      </c>
      <c r="G62" s="64">
        <f t="shared" si="8"/>
        <v>10.299999999999983</v>
      </c>
      <c r="H62" s="201">
        <f t="shared" si="9"/>
        <v>110.25896414342628</v>
      </c>
    </row>
    <row r="63" spans="1:8">
      <c r="A63" s="45"/>
      <c r="B63" s="55" t="s">
        <v>213</v>
      </c>
      <c r="C63" s="45"/>
      <c r="D63" s="50">
        <v>35.200000000000003</v>
      </c>
      <c r="E63" s="50">
        <v>36</v>
      </c>
      <c r="F63" s="50">
        <f>97.8+0.7</f>
        <v>98.5</v>
      </c>
      <c r="G63" s="64">
        <f t="shared" si="8"/>
        <v>62.5</v>
      </c>
      <c r="H63" s="201">
        <f t="shared" si="9"/>
        <v>273.61111111111114</v>
      </c>
    </row>
    <row r="64" spans="1:8">
      <c r="A64" s="45"/>
      <c r="B64" s="55" t="s">
        <v>214</v>
      </c>
      <c r="C64" s="45"/>
      <c r="D64" s="50">
        <v>9.1</v>
      </c>
      <c r="E64" s="50">
        <v>7.5</v>
      </c>
      <c r="F64" s="50">
        <f>7.1</f>
        <v>7.1</v>
      </c>
      <c r="G64" s="64">
        <f t="shared" si="8"/>
        <v>-0.40000000000000036</v>
      </c>
      <c r="H64" s="201">
        <f t="shared" si="9"/>
        <v>94.666666666666671</v>
      </c>
    </row>
    <row r="65" spans="1:8">
      <c r="A65" s="45"/>
      <c r="B65" s="60" t="s">
        <v>215</v>
      </c>
      <c r="C65" s="45"/>
      <c r="D65" s="50">
        <v>31.6</v>
      </c>
      <c r="E65" s="50">
        <v>38.4</v>
      </c>
      <c r="F65" s="50">
        <f>39+0.8</f>
        <v>39.799999999999997</v>
      </c>
      <c r="G65" s="64">
        <f t="shared" si="8"/>
        <v>1.3999999999999986</v>
      </c>
      <c r="H65" s="201">
        <f t="shared" si="9"/>
        <v>103.64583333333333</v>
      </c>
    </row>
    <row r="66" spans="1:8">
      <c r="A66" s="45"/>
      <c r="B66" s="60" t="s">
        <v>216</v>
      </c>
      <c r="C66" s="45"/>
      <c r="D66" s="50">
        <v>23</v>
      </c>
      <c r="E66" s="50">
        <v>4</v>
      </c>
      <c r="F66" s="50">
        <f>3</f>
        <v>3</v>
      </c>
      <c r="G66" s="64">
        <f t="shared" si="8"/>
        <v>-1</v>
      </c>
      <c r="H66" s="201">
        <f t="shared" si="9"/>
        <v>75</v>
      </c>
    </row>
    <row r="67" spans="1:8">
      <c r="A67" s="45"/>
      <c r="B67" s="60" t="s">
        <v>245</v>
      </c>
      <c r="C67" s="45"/>
      <c r="D67" s="50">
        <v>1</v>
      </c>
      <c r="E67" s="50">
        <v>2</v>
      </c>
      <c r="F67" s="50"/>
      <c r="G67" s="64">
        <f t="shared" si="8"/>
        <v>-2</v>
      </c>
      <c r="H67" s="201">
        <f t="shared" si="9"/>
        <v>0</v>
      </c>
    </row>
    <row r="68" spans="1:8">
      <c r="A68" s="45"/>
      <c r="B68" s="60" t="s">
        <v>231</v>
      </c>
      <c r="C68" s="45"/>
      <c r="D68" s="50">
        <v>83</v>
      </c>
      <c r="E68" s="50">
        <v>100</v>
      </c>
      <c r="F68" s="50">
        <v>49.1</v>
      </c>
      <c r="G68" s="64">
        <f t="shared" si="8"/>
        <v>-50.9</v>
      </c>
      <c r="H68" s="201">
        <f t="shared" si="9"/>
        <v>49.1</v>
      </c>
    </row>
    <row r="69" spans="1:8">
      <c r="A69" s="45"/>
      <c r="B69" s="60" t="s">
        <v>226</v>
      </c>
      <c r="C69" s="45"/>
      <c r="D69" s="50">
        <f>216.4+98</f>
        <v>314.39999999999998</v>
      </c>
      <c r="E69" s="50">
        <v>112</v>
      </c>
      <c r="F69" s="50">
        <v>98.2</v>
      </c>
      <c r="G69" s="64">
        <f t="shared" si="8"/>
        <v>-13.799999999999997</v>
      </c>
      <c r="H69" s="201">
        <f t="shared" si="9"/>
        <v>87.678571428571431</v>
      </c>
    </row>
    <row r="70" spans="1:8" ht="37.5">
      <c r="A70" s="45"/>
      <c r="B70" s="59" t="s">
        <v>217</v>
      </c>
      <c r="C70" s="43"/>
      <c r="D70" s="50">
        <v>6.8</v>
      </c>
      <c r="E70" s="50">
        <v>8</v>
      </c>
      <c r="F70" s="50">
        <v>8.4</v>
      </c>
      <c r="G70" s="64">
        <f t="shared" si="8"/>
        <v>0.40000000000000036</v>
      </c>
      <c r="H70" s="201">
        <f t="shared" si="9"/>
        <v>105</v>
      </c>
    </row>
    <row r="71" spans="1:8">
      <c r="A71" s="45"/>
      <c r="B71" s="60" t="s">
        <v>218</v>
      </c>
      <c r="C71" s="43"/>
      <c r="D71" s="50">
        <v>11.6</v>
      </c>
      <c r="E71" s="50">
        <v>12</v>
      </c>
      <c r="F71" s="50">
        <v>13.4</v>
      </c>
      <c r="G71" s="64">
        <f t="shared" si="8"/>
        <v>1.4000000000000004</v>
      </c>
      <c r="H71" s="201">
        <f t="shared" si="9"/>
        <v>111.66666666666667</v>
      </c>
    </row>
    <row r="72" spans="1:8">
      <c r="A72" s="45"/>
      <c r="B72" s="60" t="s">
        <v>219</v>
      </c>
      <c r="C72" s="43"/>
      <c r="D72" s="50">
        <v>6.6</v>
      </c>
      <c r="E72" s="50">
        <v>6</v>
      </c>
      <c r="F72" s="50"/>
      <c r="G72" s="64">
        <f t="shared" si="8"/>
        <v>-6</v>
      </c>
      <c r="H72" s="201">
        <f t="shared" si="9"/>
        <v>0</v>
      </c>
    </row>
    <row r="73" spans="1:8">
      <c r="A73" s="45"/>
      <c r="B73" s="60" t="s">
        <v>220</v>
      </c>
      <c r="C73" s="43"/>
      <c r="D73" s="50"/>
      <c r="E73" s="50">
        <v>0.8</v>
      </c>
      <c r="F73" s="50"/>
      <c r="G73" s="64">
        <f t="shared" si="8"/>
        <v>-0.8</v>
      </c>
      <c r="H73" s="201">
        <f t="shared" si="9"/>
        <v>0</v>
      </c>
    </row>
    <row r="74" spans="1:8">
      <c r="A74" s="45"/>
      <c r="B74" s="60" t="s">
        <v>221</v>
      </c>
      <c r="C74" s="43"/>
      <c r="D74" s="50"/>
      <c r="E74" s="50">
        <v>132</v>
      </c>
      <c r="F74" s="50"/>
      <c r="G74" s="64">
        <f t="shared" si="8"/>
        <v>-132</v>
      </c>
      <c r="H74" s="201">
        <f t="shared" si="9"/>
        <v>0</v>
      </c>
    </row>
    <row r="75" spans="1:8">
      <c r="A75" s="45"/>
      <c r="B75" s="60" t="s">
        <v>306</v>
      </c>
      <c r="C75" s="43"/>
      <c r="D75" s="50"/>
      <c r="E75" s="50">
        <v>25</v>
      </c>
      <c r="F75" s="50"/>
      <c r="G75" s="64">
        <f t="shared" si="8"/>
        <v>-25</v>
      </c>
      <c r="H75" s="201">
        <f t="shared" si="9"/>
        <v>0</v>
      </c>
    </row>
    <row r="76" spans="1:8">
      <c r="A76" s="45"/>
      <c r="B76" s="60" t="s">
        <v>432</v>
      </c>
      <c r="C76" s="43"/>
      <c r="D76" s="50"/>
      <c r="E76" s="50">
        <v>10</v>
      </c>
      <c r="F76" s="50"/>
      <c r="G76" s="64">
        <f t="shared" si="8"/>
        <v>-10</v>
      </c>
      <c r="H76" s="201">
        <f t="shared" si="9"/>
        <v>0</v>
      </c>
    </row>
    <row r="77" spans="1:8">
      <c r="A77" s="45"/>
      <c r="B77" s="60" t="s">
        <v>307</v>
      </c>
      <c r="C77" s="43"/>
      <c r="D77" s="50">
        <v>0.5</v>
      </c>
      <c r="E77" s="50">
        <v>0.4</v>
      </c>
      <c r="F77" s="50"/>
      <c r="G77" s="64">
        <f t="shared" si="8"/>
        <v>-0.4</v>
      </c>
      <c r="H77" s="201">
        <f t="shared" si="9"/>
        <v>0</v>
      </c>
    </row>
    <row r="78" spans="1:8" ht="35.25" customHeight="1">
      <c r="A78" s="45"/>
      <c r="B78" s="85" t="s">
        <v>320</v>
      </c>
      <c r="C78" s="43"/>
      <c r="D78" s="50">
        <v>110</v>
      </c>
      <c r="E78" s="50"/>
      <c r="F78" s="50"/>
      <c r="G78" s="64">
        <f t="shared" si="8"/>
        <v>0</v>
      </c>
      <c r="H78" s="218" t="e">
        <f t="shared" si="9"/>
        <v>#DIV/0!</v>
      </c>
    </row>
    <row r="79" spans="1:8">
      <c r="A79" s="45"/>
      <c r="B79" s="87" t="s">
        <v>321</v>
      </c>
      <c r="C79" s="43"/>
      <c r="D79" s="50">
        <v>0.6</v>
      </c>
      <c r="E79" s="50">
        <v>1</v>
      </c>
      <c r="F79" s="50">
        <v>1.6</v>
      </c>
      <c r="G79" s="64">
        <f t="shared" si="8"/>
        <v>0.60000000000000009</v>
      </c>
      <c r="H79" s="467">
        <f t="shared" si="9"/>
        <v>160</v>
      </c>
    </row>
    <row r="80" spans="1:8">
      <c r="A80" s="45"/>
      <c r="B80" s="87" t="s">
        <v>322</v>
      </c>
      <c r="C80" s="43"/>
      <c r="D80" s="50">
        <v>11</v>
      </c>
      <c r="E80" s="50">
        <v>12</v>
      </c>
      <c r="F80" s="50">
        <v>12.6</v>
      </c>
      <c r="G80" s="64">
        <f t="shared" si="8"/>
        <v>0.59999999999999964</v>
      </c>
      <c r="H80" s="467">
        <f t="shared" si="9"/>
        <v>105</v>
      </c>
    </row>
    <row r="81" spans="1:8">
      <c r="A81" s="45"/>
      <c r="B81" s="87" t="s">
        <v>323</v>
      </c>
      <c r="C81" s="43"/>
      <c r="D81" s="50">
        <v>2.8</v>
      </c>
      <c r="E81" s="50">
        <v>3</v>
      </c>
      <c r="F81" s="50">
        <f>9.4+0.7</f>
        <v>10.1</v>
      </c>
      <c r="G81" s="64">
        <f t="shared" si="8"/>
        <v>7.1</v>
      </c>
      <c r="H81" s="467">
        <f t="shared" si="9"/>
        <v>336.66666666666669</v>
      </c>
    </row>
    <row r="82" spans="1:8" ht="56.25">
      <c r="A82" s="45"/>
      <c r="B82" s="85" t="s">
        <v>433</v>
      </c>
      <c r="C82" s="43"/>
      <c r="D82" s="50">
        <v>3.1</v>
      </c>
      <c r="E82" s="50">
        <v>102</v>
      </c>
      <c r="F82" s="50"/>
      <c r="G82" s="64">
        <f t="shared" si="8"/>
        <v>-102</v>
      </c>
      <c r="H82" s="467">
        <f t="shared" si="9"/>
        <v>0</v>
      </c>
    </row>
    <row r="83" spans="1:8" ht="37.5">
      <c r="A83" s="45"/>
      <c r="B83" s="85" t="s">
        <v>325</v>
      </c>
      <c r="C83" s="43"/>
      <c r="D83" s="50">
        <v>8.8000000000000007</v>
      </c>
      <c r="E83" s="50"/>
      <c r="F83" s="50">
        <v>4.9000000000000004</v>
      </c>
      <c r="G83" s="64">
        <f t="shared" si="8"/>
        <v>4.9000000000000004</v>
      </c>
      <c r="H83" s="218" t="e">
        <f t="shared" si="9"/>
        <v>#DIV/0!</v>
      </c>
    </row>
    <row r="84" spans="1:8">
      <c r="A84" s="45"/>
      <c r="B84" s="87" t="s">
        <v>344</v>
      </c>
      <c r="C84" s="43"/>
      <c r="D84" s="50">
        <v>1.4</v>
      </c>
      <c r="E84" s="50"/>
      <c r="F84" s="50"/>
      <c r="G84" s="64">
        <f t="shared" si="8"/>
        <v>0</v>
      </c>
      <c r="H84" s="218" t="e">
        <f t="shared" si="9"/>
        <v>#DIV/0!</v>
      </c>
    </row>
    <row r="85" spans="1:8">
      <c r="A85" s="45"/>
      <c r="B85" s="87" t="s">
        <v>345</v>
      </c>
      <c r="C85" s="43"/>
      <c r="D85" s="50">
        <v>9.6</v>
      </c>
      <c r="E85" s="50"/>
      <c r="F85" s="50"/>
      <c r="G85" s="64">
        <f t="shared" si="8"/>
        <v>0</v>
      </c>
      <c r="H85" s="218" t="e">
        <f t="shared" si="9"/>
        <v>#DIV/0!</v>
      </c>
    </row>
    <row r="86" spans="1:8" ht="40.5" customHeight="1">
      <c r="A86" s="45"/>
      <c r="B86" s="85" t="s">
        <v>346</v>
      </c>
      <c r="C86" s="43"/>
      <c r="D86" s="50">
        <v>21</v>
      </c>
      <c r="E86" s="50"/>
      <c r="F86" s="50"/>
      <c r="G86" s="64">
        <f t="shared" si="8"/>
        <v>0</v>
      </c>
      <c r="H86" s="218" t="e">
        <f t="shared" si="9"/>
        <v>#DIV/0!</v>
      </c>
    </row>
    <row r="87" spans="1:8">
      <c r="A87" s="45"/>
      <c r="B87" s="87" t="s">
        <v>347</v>
      </c>
      <c r="C87" s="43"/>
      <c r="D87" s="50">
        <v>2.9</v>
      </c>
      <c r="E87" s="50"/>
      <c r="F87" s="50"/>
      <c r="G87" s="64">
        <f t="shared" si="8"/>
        <v>0</v>
      </c>
      <c r="H87" s="218" t="e">
        <f t="shared" si="9"/>
        <v>#DIV/0!</v>
      </c>
    </row>
    <row r="88" spans="1:8" ht="37.5">
      <c r="A88" s="45"/>
      <c r="B88" s="85" t="s">
        <v>442</v>
      </c>
      <c r="C88" s="43"/>
      <c r="D88" s="50"/>
      <c r="E88" s="50"/>
      <c r="F88" s="50">
        <v>49</v>
      </c>
      <c r="G88" s="64">
        <f t="shared" si="8"/>
        <v>49</v>
      </c>
      <c r="H88" s="218" t="e">
        <f t="shared" si="9"/>
        <v>#DIV/0!</v>
      </c>
    </row>
    <row r="89" spans="1:8" ht="37.5">
      <c r="A89" s="45"/>
      <c r="B89" s="85" t="s">
        <v>443</v>
      </c>
      <c r="C89" s="43"/>
      <c r="D89" s="50"/>
      <c r="E89" s="50"/>
      <c r="F89" s="50">
        <v>32.299999999999997</v>
      </c>
      <c r="G89" s="64">
        <f t="shared" si="8"/>
        <v>32.299999999999997</v>
      </c>
      <c r="H89" s="218" t="e">
        <f t="shared" si="9"/>
        <v>#DIV/0!</v>
      </c>
    </row>
    <row r="90" spans="1:8">
      <c r="A90" s="45"/>
      <c r="B90" s="87" t="s">
        <v>441</v>
      </c>
      <c r="C90" s="43"/>
      <c r="D90" s="50"/>
      <c r="E90" s="50"/>
      <c r="F90" s="50">
        <v>20.2</v>
      </c>
      <c r="G90" s="64">
        <f t="shared" si="8"/>
        <v>20.2</v>
      </c>
      <c r="H90" s="218" t="e">
        <f t="shared" si="9"/>
        <v>#DIV/0!</v>
      </c>
    </row>
    <row r="91" spans="1:8">
      <c r="A91" s="45"/>
      <c r="B91" s="87" t="s">
        <v>242</v>
      </c>
      <c r="C91" s="43"/>
      <c r="D91" s="50"/>
      <c r="E91" s="50"/>
      <c r="F91" s="50">
        <v>0.4</v>
      </c>
      <c r="G91" s="64">
        <f t="shared" si="8"/>
        <v>0.4</v>
      </c>
      <c r="H91" s="218" t="e">
        <f t="shared" si="9"/>
        <v>#DIV/0!</v>
      </c>
    </row>
    <row r="92" spans="1:8">
      <c r="A92" s="45"/>
      <c r="B92" s="85" t="s">
        <v>444</v>
      </c>
      <c r="C92" s="43"/>
      <c r="D92" s="50"/>
      <c r="E92" s="50"/>
      <c r="F92" s="50">
        <v>4.4000000000000004</v>
      </c>
      <c r="G92" s="64">
        <f t="shared" si="8"/>
        <v>4.4000000000000004</v>
      </c>
      <c r="H92" s="218" t="e">
        <f t="shared" si="9"/>
        <v>#DIV/0!</v>
      </c>
    </row>
    <row r="93" spans="1:8" ht="37.5">
      <c r="A93" s="45"/>
      <c r="B93" s="85" t="s">
        <v>445</v>
      </c>
      <c r="C93" s="43"/>
      <c r="D93" s="50"/>
      <c r="E93" s="50"/>
      <c r="F93" s="50">
        <v>7.2</v>
      </c>
      <c r="G93" s="64">
        <f t="shared" si="8"/>
        <v>7.2</v>
      </c>
      <c r="H93" s="218" t="e">
        <f t="shared" si="9"/>
        <v>#DIV/0!</v>
      </c>
    </row>
    <row r="94" spans="1:8" ht="24.75" customHeight="1">
      <c r="A94" s="45"/>
      <c r="B94" s="87" t="s">
        <v>335</v>
      </c>
      <c r="C94" s="43"/>
      <c r="D94" s="50">
        <v>3.7</v>
      </c>
      <c r="E94" s="50">
        <v>3</v>
      </c>
      <c r="F94" s="50"/>
      <c r="G94" s="64">
        <f t="shared" si="8"/>
        <v>-3</v>
      </c>
      <c r="H94" s="218">
        <f t="shared" si="9"/>
        <v>0</v>
      </c>
    </row>
    <row r="95" spans="1:8">
      <c r="A95" s="500" t="s">
        <v>118</v>
      </c>
      <c r="B95" s="500"/>
      <c r="C95" s="45"/>
      <c r="D95" s="47"/>
      <c r="E95" s="47"/>
      <c r="F95" s="47"/>
      <c r="G95" s="62"/>
      <c r="H95" s="201"/>
    </row>
    <row r="96" spans="1:8">
      <c r="A96" s="498" t="s">
        <v>188</v>
      </c>
      <c r="B96" s="499"/>
      <c r="C96" s="45">
        <v>1021</v>
      </c>
      <c r="D96" s="47">
        <f>SUM(D97:D98)</f>
        <v>63.100000000000009</v>
      </c>
      <c r="E96" s="47">
        <f t="shared" ref="E96" si="10">SUM(E97:E98)</f>
        <v>52.5</v>
      </c>
      <c r="F96" s="47">
        <f>SUM(F97:F99)</f>
        <v>75.900000000000006</v>
      </c>
      <c r="G96" s="62">
        <f t="shared" si="8"/>
        <v>23.400000000000006</v>
      </c>
      <c r="H96" s="62">
        <f t="shared" si="9"/>
        <v>144.57142857142858</v>
      </c>
    </row>
    <row r="97" spans="1:8" ht="21.75" customHeight="1">
      <c r="A97" s="63"/>
      <c r="B97" s="55" t="s">
        <v>223</v>
      </c>
      <c r="C97" s="43"/>
      <c r="D97" s="50">
        <v>32.700000000000003</v>
      </c>
      <c r="E97" s="50">
        <v>33</v>
      </c>
      <c r="F97" s="50">
        <v>38.6</v>
      </c>
      <c r="G97" s="64">
        <f t="shared" ref="G97:G145" si="11">F97-E97</f>
        <v>5.6000000000000014</v>
      </c>
      <c r="H97" s="201">
        <f t="shared" ref="H97:H145" si="12">(F97/E97)*100</f>
        <v>116.96969696969697</v>
      </c>
    </row>
    <row r="98" spans="1:8">
      <c r="A98" s="45"/>
      <c r="B98" s="66" t="s">
        <v>195</v>
      </c>
      <c r="C98" s="45"/>
      <c r="D98" s="50">
        <f>29.8+0.6</f>
        <v>30.400000000000002</v>
      </c>
      <c r="E98" s="50">
        <v>19.5</v>
      </c>
      <c r="F98" s="50">
        <v>34.799999999999997</v>
      </c>
      <c r="G98" s="64">
        <f t="shared" si="11"/>
        <v>15.299999999999997</v>
      </c>
      <c r="H98" s="201">
        <f t="shared" si="12"/>
        <v>178.46153846153845</v>
      </c>
    </row>
    <row r="99" spans="1:8">
      <c r="A99" s="45"/>
      <c r="B99" s="66" t="s">
        <v>197</v>
      </c>
      <c r="C99" s="45"/>
      <c r="D99" s="50"/>
      <c r="E99" s="50"/>
      <c r="F99" s="50">
        <v>2.5</v>
      </c>
      <c r="G99" s="64">
        <f t="shared" si="11"/>
        <v>2.5</v>
      </c>
      <c r="H99" s="218" t="e">
        <f t="shared" si="12"/>
        <v>#DIV/0!</v>
      </c>
    </row>
    <row r="100" spans="1:8">
      <c r="A100" s="498" t="s">
        <v>119</v>
      </c>
      <c r="B100" s="499"/>
      <c r="C100" s="45">
        <v>1025</v>
      </c>
      <c r="D100" s="47">
        <f>SUM(D101:D107)</f>
        <v>79.599999999999994</v>
      </c>
      <c r="E100" s="47">
        <f>SUM(E101:E105)</f>
        <v>97.8</v>
      </c>
      <c r="F100" s="47">
        <f>SUM(F101:F106)</f>
        <v>71.5</v>
      </c>
      <c r="G100" s="204">
        <f t="shared" si="11"/>
        <v>-26.299999999999997</v>
      </c>
      <c r="H100" s="200">
        <f t="shared" si="12"/>
        <v>73.108384458077708</v>
      </c>
    </row>
    <row r="101" spans="1:8" ht="37.5">
      <c r="A101" s="45"/>
      <c r="B101" s="85" t="s">
        <v>224</v>
      </c>
      <c r="C101" s="45"/>
      <c r="D101" s="50">
        <v>5</v>
      </c>
      <c r="E101" s="50">
        <v>5</v>
      </c>
      <c r="F101" s="50"/>
      <c r="G101" s="64">
        <f t="shared" si="11"/>
        <v>-5</v>
      </c>
      <c r="H101" s="201">
        <f t="shared" si="12"/>
        <v>0</v>
      </c>
    </row>
    <row r="102" spans="1:8">
      <c r="A102" s="45"/>
      <c r="B102" s="55" t="s">
        <v>225</v>
      </c>
      <c r="C102" s="45"/>
      <c r="D102" s="50">
        <v>33.299999999999997</v>
      </c>
      <c r="E102" s="50">
        <v>40</v>
      </c>
      <c r="F102" s="50">
        <v>41</v>
      </c>
      <c r="G102" s="64">
        <f t="shared" si="11"/>
        <v>1</v>
      </c>
      <c r="H102" s="201">
        <f t="shared" si="12"/>
        <v>102.49999999999999</v>
      </c>
    </row>
    <row r="103" spans="1:8" ht="21" customHeight="1">
      <c r="A103" s="66"/>
      <c r="B103" s="49" t="s">
        <v>232</v>
      </c>
      <c r="C103" s="43"/>
      <c r="D103" s="50">
        <v>18.3</v>
      </c>
      <c r="E103" s="50">
        <v>19</v>
      </c>
      <c r="F103" s="50">
        <v>30.5</v>
      </c>
      <c r="G103" s="64">
        <f t="shared" si="11"/>
        <v>11.5</v>
      </c>
      <c r="H103" s="201">
        <f t="shared" si="12"/>
        <v>160.5263157894737</v>
      </c>
    </row>
    <row r="104" spans="1:8">
      <c r="A104" s="66"/>
      <c r="B104" s="49" t="s">
        <v>308</v>
      </c>
      <c r="C104" s="43"/>
      <c r="D104" s="50">
        <v>16.8</v>
      </c>
      <c r="E104" s="50">
        <v>33.799999999999997</v>
      </c>
      <c r="F104" s="50"/>
      <c r="G104" s="64">
        <f t="shared" si="11"/>
        <v>-33.799999999999997</v>
      </c>
      <c r="H104" s="201">
        <f t="shared" si="12"/>
        <v>0</v>
      </c>
    </row>
    <row r="105" spans="1:8">
      <c r="A105" s="60"/>
      <c r="B105" s="89" t="s">
        <v>326</v>
      </c>
      <c r="C105" s="43"/>
      <c r="D105" s="50">
        <v>0.7</v>
      </c>
      <c r="E105" s="50"/>
      <c r="F105" s="50"/>
      <c r="G105" s="64">
        <f t="shared" si="11"/>
        <v>0</v>
      </c>
      <c r="H105" s="218" t="e">
        <f t="shared" si="12"/>
        <v>#DIV/0!</v>
      </c>
    </row>
    <row r="106" spans="1:8">
      <c r="A106" s="66"/>
      <c r="B106" s="89" t="s">
        <v>412</v>
      </c>
      <c r="C106" s="43"/>
      <c r="D106" s="50">
        <v>5.5</v>
      </c>
      <c r="E106" s="50"/>
      <c r="F106" s="50"/>
      <c r="G106" s="64">
        <f t="shared" si="11"/>
        <v>0</v>
      </c>
      <c r="H106" s="218" t="e">
        <f t="shared" si="12"/>
        <v>#DIV/0!</v>
      </c>
    </row>
    <row r="107" spans="1:8">
      <c r="A107" s="501" t="s">
        <v>129</v>
      </c>
      <c r="B107" s="502"/>
      <c r="C107" s="45"/>
      <c r="D107" s="47"/>
      <c r="E107" s="47"/>
      <c r="F107" s="47"/>
      <c r="G107" s="64">
        <f t="shared" si="11"/>
        <v>0</v>
      </c>
      <c r="H107" s="218" t="e">
        <f t="shared" si="12"/>
        <v>#DIV/0!</v>
      </c>
    </row>
    <row r="108" spans="1:8" ht="25.5" customHeight="1">
      <c r="A108" s="498" t="s">
        <v>188</v>
      </c>
      <c r="B108" s="499"/>
      <c r="C108" s="45">
        <v>1031</v>
      </c>
      <c r="D108" s="47">
        <f>SUM(D109:D119)</f>
        <v>6675.2</v>
      </c>
      <c r="E108" s="47">
        <f>SUM(E109:E119)</f>
        <v>8390.3000000000011</v>
      </c>
      <c r="F108" s="47">
        <f>SUM(F109:F119)</f>
        <v>13993.6</v>
      </c>
      <c r="G108" s="62">
        <f t="shared" si="11"/>
        <v>5603.2999999999993</v>
      </c>
      <c r="H108" s="205">
        <f t="shared" si="12"/>
        <v>166.78307092714203</v>
      </c>
    </row>
    <row r="109" spans="1:8" ht="37.5">
      <c r="A109" s="65"/>
      <c r="B109" s="55" t="s">
        <v>198</v>
      </c>
      <c r="C109" s="45"/>
      <c r="D109" s="50">
        <v>2</v>
      </c>
      <c r="E109" s="50"/>
      <c r="F109" s="50"/>
      <c r="G109" s="64">
        <f t="shared" si="11"/>
        <v>0</v>
      </c>
      <c r="H109" s="218" t="e">
        <f t="shared" si="12"/>
        <v>#DIV/0!</v>
      </c>
    </row>
    <row r="110" spans="1:8">
      <c r="A110" s="65"/>
      <c r="B110" s="55" t="s">
        <v>333</v>
      </c>
      <c r="C110" s="45"/>
      <c r="D110" s="50">
        <v>13.7</v>
      </c>
      <c r="E110" s="50"/>
      <c r="F110" s="50"/>
      <c r="G110" s="64">
        <f t="shared" si="11"/>
        <v>0</v>
      </c>
      <c r="H110" s="218" t="e">
        <f t="shared" si="12"/>
        <v>#DIV/0!</v>
      </c>
    </row>
    <row r="111" spans="1:8" ht="75">
      <c r="A111" s="65"/>
      <c r="B111" s="55" t="s">
        <v>234</v>
      </c>
      <c r="C111" s="45"/>
      <c r="D111" s="50">
        <v>670.4</v>
      </c>
      <c r="E111" s="50">
        <v>800</v>
      </c>
      <c r="F111" s="50">
        <f>220.3+499.6</f>
        <v>719.90000000000009</v>
      </c>
      <c r="G111" s="64">
        <f t="shared" si="11"/>
        <v>-80.099999999999909</v>
      </c>
      <c r="H111" s="206">
        <f t="shared" si="12"/>
        <v>89.987500000000011</v>
      </c>
    </row>
    <row r="112" spans="1:8" ht="37.5">
      <c r="A112" s="65"/>
      <c r="B112" s="55" t="s">
        <v>235</v>
      </c>
      <c r="C112" s="45"/>
      <c r="D112" s="50">
        <v>363.3</v>
      </c>
      <c r="E112" s="50">
        <v>309.10000000000002</v>
      </c>
      <c r="F112" s="50">
        <f>176.6+85.5</f>
        <v>262.10000000000002</v>
      </c>
      <c r="G112" s="64">
        <f t="shared" si="11"/>
        <v>-47</v>
      </c>
      <c r="H112" s="206">
        <f t="shared" si="12"/>
        <v>84.794564865739247</v>
      </c>
    </row>
    <row r="113" spans="1:8">
      <c r="A113" s="65"/>
      <c r="B113" s="67" t="s">
        <v>236</v>
      </c>
      <c r="C113" s="45"/>
      <c r="D113" s="50">
        <v>5406.1</v>
      </c>
      <c r="E113" s="50">
        <v>7258.6</v>
      </c>
      <c r="F113" s="50">
        <v>12856</v>
      </c>
      <c r="G113" s="64">
        <f t="shared" si="11"/>
        <v>5597.4</v>
      </c>
      <c r="H113" s="206">
        <f t="shared" si="12"/>
        <v>177.1140440305293</v>
      </c>
    </row>
    <row r="114" spans="1:8">
      <c r="A114" s="185"/>
      <c r="B114" s="67" t="s">
        <v>285</v>
      </c>
      <c r="C114" s="45"/>
      <c r="D114" s="50">
        <f>4.9+2.3</f>
        <v>7.2</v>
      </c>
      <c r="E114" s="50">
        <v>22</v>
      </c>
      <c r="F114" s="50">
        <v>1.7</v>
      </c>
      <c r="G114" s="64">
        <f t="shared" si="11"/>
        <v>-20.3</v>
      </c>
      <c r="H114" s="206">
        <f t="shared" si="12"/>
        <v>7.7272727272727266</v>
      </c>
    </row>
    <row r="115" spans="1:8">
      <c r="A115" s="68"/>
      <c r="B115" s="67" t="s">
        <v>238</v>
      </c>
      <c r="C115" s="45"/>
      <c r="D115" s="50">
        <v>2.8</v>
      </c>
      <c r="E115" s="50">
        <v>0.6</v>
      </c>
      <c r="F115" s="50">
        <v>0.1</v>
      </c>
      <c r="G115" s="64">
        <f t="shared" si="11"/>
        <v>-0.5</v>
      </c>
      <c r="H115" s="206">
        <f t="shared" si="12"/>
        <v>16.666666666666668</v>
      </c>
    </row>
    <row r="116" spans="1:8">
      <c r="A116" s="68"/>
      <c r="B116" s="184" t="s">
        <v>389</v>
      </c>
      <c r="C116" s="45"/>
      <c r="D116" s="50">
        <v>106.3</v>
      </c>
      <c r="E116" s="50"/>
      <c r="F116" s="50">
        <v>138.4</v>
      </c>
      <c r="G116" s="64">
        <f t="shared" si="11"/>
        <v>138.4</v>
      </c>
      <c r="H116" s="218" t="e">
        <f t="shared" si="12"/>
        <v>#DIV/0!</v>
      </c>
    </row>
    <row r="117" spans="1:8" ht="37.5">
      <c r="A117" s="68"/>
      <c r="B117" s="52" t="s">
        <v>390</v>
      </c>
      <c r="C117" s="45"/>
      <c r="D117" s="50">
        <v>0.7</v>
      </c>
      <c r="E117" s="50"/>
      <c r="F117" s="50">
        <v>0.5</v>
      </c>
      <c r="G117" s="64">
        <f t="shared" si="11"/>
        <v>0.5</v>
      </c>
      <c r="H117" s="218" t="e">
        <f t="shared" si="12"/>
        <v>#DIV/0!</v>
      </c>
    </row>
    <row r="118" spans="1:8" ht="37.5">
      <c r="A118" s="211"/>
      <c r="B118" s="52" t="s">
        <v>391</v>
      </c>
      <c r="C118" s="45"/>
      <c r="D118" s="50">
        <v>102.7</v>
      </c>
      <c r="E118" s="50"/>
      <c r="F118" s="50"/>
      <c r="G118" s="64">
        <f t="shared" si="11"/>
        <v>0</v>
      </c>
      <c r="H118" s="218" t="e">
        <f t="shared" si="12"/>
        <v>#DIV/0!</v>
      </c>
    </row>
    <row r="119" spans="1:8">
      <c r="A119" s="211"/>
      <c r="B119" s="55" t="s">
        <v>498</v>
      </c>
      <c r="C119" s="45"/>
      <c r="D119" s="50"/>
      <c r="E119" s="50"/>
      <c r="F119" s="50">
        <v>14.9</v>
      </c>
      <c r="G119" s="64">
        <f t="shared" si="11"/>
        <v>14.9</v>
      </c>
      <c r="H119" s="218" t="e">
        <f t="shared" si="12"/>
        <v>#DIV/0!</v>
      </c>
    </row>
    <row r="120" spans="1:8" ht="26.25" customHeight="1">
      <c r="A120" s="498" t="s">
        <v>129</v>
      </c>
      <c r="B120" s="499"/>
      <c r="C120" s="45">
        <v>1035</v>
      </c>
      <c r="D120" s="47">
        <f>SUM(D121:D145)</f>
        <v>1813.3999999999999</v>
      </c>
      <c r="E120" s="47">
        <f>SUM(E121:E145)</f>
        <v>1830</v>
      </c>
      <c r="F120" s="47">
        <f>SUM(F121:F145)</f>
        <v>1766.6000000000001</v>
      </c>
      <c r="G120" s="62">
        <f t="shared" si="11"/>
        <v>-63.399999999999864</v>
      </c>
      <c r="H120" s="205">
        <f t="shared" si="12"/>
        <v>96.535519125683066</v>
      </c>
    </row>
    <row r="121" spans="1:8" hidden="1">
      <c r="A121" s="185"/>
      <c r="B121" s="49" t="s">
        <v>239</v>
      </c>
      <c r="C121" s="45"/>
      <c r="D121" s="47"/>
      <c r="E121" s="50"/>
      <c r="F121" s="47"/>
      <c r="G121" s="64">
        <f t="shared" si="11"/>
        <v>0</v>
      </c>
      <c r="H121" s="205" t="e">
        <f t="shared" si="12"/>
        <v>#DIV/0!</v>
      </c>
    </row>
    <row r="122" spans="1:8">
      <c r="A122" s="65"/>
      <c r="B122" s="49" t="s">
        <v>341</v>
      </c>
      <c r="C122" s="45"/>
      <c r="D122" s="50">
        <v>18.8</v>
      </c>
      <c r="E122" s="50">
        <v>21.6</v>
      </c>
      <c r="F122" s="50">
        <v>24.6</v>
      </c>
      <c r="G122" s="64">
        <f t="shared" si="11"/>
        <v>3</v>
      </c>
      <c r="H122" s="206">
        <f t="shared" si="12"/>
        <v>113.88888888888889</v>
      </c>
    </row>
    <row r="123" spans="1:8">
      <c r="A123" s="65"/>
      <c r="B123" s="49" t="s">
        <v>240</v>
      </c>
      <c r="C123" s="45"/>
      <c r="D123" s="50">
        <v>14.8</v>
      </c>
      <c r="E123" s="50">
        <v>8</v>
      </c>
      <c r="F123" s="50">
        <v>18.399999999999999</v>
      </c>
      <c r="G123" s="64">
        <f t="shared" si="11"/>
        <v>10.399999999999999</v>
      </c>
      <c r="H123" s="206">
        <f t="shared" si="12"/>
        <v>229.99999999999997</v>
      </c>
    </row>
    <row r="124" spans="1:8">
      <c r="A124" s="65"/>
      <c r="B124" s="49" t="s">
        <v>241</v>
      </c>
      <c r="C124" s="45"/>
      <c r="D124" s="50">
        <f>2.7+1.3</f>
        <v>4</v>
      </c>
      <c r="E124" s="50">
        <v>4.4000000000000004</v>
      </c>
      <c r="F124" s="50">
        <f>3.2+1.1</f>
        <v>4.3000000000000007</v>
      </c>
      <c r="G124" s="64">
        <f t="shared" si="11"/>
        <v>-9.9999999999999645E-2</v>
      </c>
      <c r="H124" s="206">
        <f t="shared" si="12"/>
        <v>97.727272727272734</v>
      </c>
    </row>
    <row r="125" spans="1:8" ht="37.5">
      <c r="A125" s="215"/>
      <c r="B125" s="89" t="s">
        <v>348</v>
      </c>
      <c r="C125" s="45"/>
      <c r="D125" s="50">
        <v>2.8</v>
      </c>
      <c r="E125" s="50">
        <v>5</v>
      </c>
      <c r="F125" s="50"/>
      <c r="G125" s="64">
        <f t="shared" si="11"/>
        <v>-5</v>
      </c>
      <c r="H125" s="467">
        <f t="shared" si="12"/>
        <v>0</v>
      </c>
    </row>
    <row r="126" spans="1:8" ht="37.5">
      <c r="A126" s="215"/>
      <c r="B126" s="89" t="s">
        <v>349</v>
      </c>
      <c r="C126" s="45"/>
      <c r="D126" s="50">
        <v>1.7</v>
      </c>
      <c r="E126" s="50">
        <v>2</v>
      </c>
      <c r="F126" s="50"/>
      <c r="G126" s="64">
        <f t="shared" si="11"/>
        <v>-2</v>
      </c>
      <c r="H126" s="467">
        <f t="shared" si="12"/>
        <v>0</v>
      </c>
    </row>
    <row r="127" spans="1:8" ht="37.5">
      <c r="A127" s="45"/>
      <c r="B127" s="55" t="s">
        <v>243</v>
      </c>
      <c r="C127" s="45"/>
      <c r="D127" s="50">
        <v>45</v>
      </c>
      <c r="E127" s="50">
        <v>46.2</v>
      </c>
      <c r="F127" s="50">
        <v>7.7</v>
      </c>
      <c r="G127" s="64">
        <f t="shared" si="11"/>
        <v>-38.5</v>
      </c>
      <c r="H127" s="206">
        <f t="shared" si="12"/>
        <v>16.666666666666664</v>
      </c>
    </row>
    <row r="128" spans="1:8">
      <c r="A128" s="45"/>
      <c r="B128" s="69" t="s">
        <v>392</v>
      </c>
      <c r="C128" s="45"/>
      <c r="D128" s="50">
        <v>161.69999999999999</v>
      </c>
      <c r="E128" s="50">
        <v>175.4</v>
      </c>
      <c r="F128" s="50">
        <v>157</v>
      </c>
      <c r="G128" s="64">
        <f t="shared" si="11"/>
        <v>-18.400000000000006</v>
      </c>
      <c r="H128" s="206">
        <f t="shared" si="12"/>
        <v>89.509692132269095</v>
      </c>
    </row>
    <row r="129" spans="1:8">
      <c r="A129" s="45"/>
      <c r="B129" s="69" t="s">
        <v>242</v>
      </c>
      <c r="C129" s="45"/>
      <c r="D129" s="50">
        <v>0.4</v>
      </c>
      <c r="E129" s="50"/>
      <c r="F129" s="50"/>
      <c r="G129" s="64">
        <f t="shared" si="11"/>
        <v>0</v>
      </c>
      <c r="H129" s="218" t="e">
        <f t="shared" si="12"/>
        <v>#DIV/0!</v>
      </c>
    </row>
    <row r="130" spans="1:8">
      <c r="A130" s="45"/>
      <c r="B130" s="69" t="s">
        <v>476</v>
      </c>
      <c r="C130" s="45"/>
      <c r="D130" s="50"/>
      <c r="E130" s="50"/>
      <c r="F130" s="50">
        <v>16.399999999999999</v>
      </c>
      <c r="G130" s="64">
        <f t="shared" si="11"/>
        <v>16.399999999999999</v>
      </c>
      <c r="H130" s="218" t="e">
        <f t="shared" si="12"/>
        <v>#DIV/0!</v>
      </c>
    </row>
    <row r="131" spans="1:8">
      <c r="A131" s="45"/>
      <c r="B131" s="70" t="s">
        <v>244</v>
      </c>
      <c r="C131" s="45"/>
      <c r="D131" s="50"/>
      <c r="E131" s="50">
        <v>19</v>
      </c>
      <c r="F131" s="50"/>
      <c r="G131" s="64">
        <f t="shared" si="11"/>
        <v>-19</v>
      </c>
      <c r="H131" s="206">
        <f t="shared" si="12"/>
        <v>0</v>
      </c>
    </row>
    <row r="132" spans="1:8">
      <c r="A132" s="45"/>
      <c r="B132" s="70" t="s">
        <v>309</v>
      </c>
      <c r="C132" s="45"/>
      <c r="D132" s="50">
        <v>1</v>
      </c>
      <c r="E132" s="50">
        <v>22</v>
      </c>
      <c r="F132" s="50">
        <v>6.5</v>
      </c>
      <c r="G132" s="64">
        <f t="shared" si="11"/>
        <v>-15.5</v>
      </c>
      <c r="H132" s="206">
        <f t="shared" si="12"/>
        <v>29.545454545454547</v>
      </c>
    </row>
    <row r="133" spans="1:8">
      <c r="A133" s="45"/>
      <c r="B133" s="70" t="s">
        <v>247</v>
      </c>
      <c r="C133" s="45"/>
      <c r="D133" s="50"/>
      <c r="E133" s="50">
        <v>35</v>
      </c>
      <c r="F133" s="50"/>
      <c r="G133" s="64">
        <f t="shared" si="11"/>
        <v>-35</v>
      </c>
      <c r="H133" s="206">
        <f t="shared" si="12"/>
        <v>0</v>
      </c>
    </row>
    <row r="134" spans="1:8">
      <c r="A134" s="45"/>
      <c r="B134" s="70" t="s">
        <v>227</v>
      </c>
      <c r="C134" s="45"/>
      <c r="D134" s="50"/>
      <c r="E134" s="50">
        <v>20</v>
      </c>
      <c r="F134" s="50"/>
      <c r="G134" s="64">
        <f t="shared" si="11"/>
        <v>-20</v>
      </c>
      <c r="H134" s="206">
        <f t="shared" si="12"/>
        <v>0</v>
      </c>
    </row>
    <row r="135" spans="1:8" ht="37.5">
      <c r="A135" s="66"/>
      <c r="B135" s="55" t="s">
        <v>310</v>
      </c>
      <c r="C135" s="43"/>
      <c r="D135" s="50">
        <v>14.4</v>
      </c>
      <c r="E135" s="50"/>
      <c r="F135" s="50"/>
      <c r="G135" s="64">
        <f t="shared" si="11"/>
        <v>0</v>
      </c>
      <c r="H135" s="218" t="e">
        <f t="shared" si="12"/>
        <v>#DIV/0!</v>
      </c>
    </row>
    <row r="136" spans="1:8" ht="37.5">
      <c r="A136" s="45"/>
      <c r="B136" s="89" t="s">
        <v>447</v>
      </c>
      <c r="C136" s="45"/>
      <c r="D136" s="50"/>
      <c r="E136" s="50"/>
      <c r="F136" s="50">
        <v>46.7</v>
      </c>
      <c r="G136" s="64">
        <f t="shared" si="11"/>
        <v>46.7</v>
      </c>
      <c r="H136" s="218" t="e">
        <f t="shared" si="12"/>
        <v>#DIV/0!</v>
      </c>
    </row>
    <row r="137" spans="1:8" ht="63.75" customHeight="1">
      <c r="A137" s="45"/>
      <c r="B137" s="58" t="s">
        <v>249</v>
      </c>
      <c r="C137" s="45"/>
      <c r="D137" s="50">
        <v>357</v>
      </c>
      <c r="E137" s="50">
        <v>420.4</v>
      </c>
      <c r="F137" s="50">
        <v>172.7</v>
      </c>
      <c r="G137" s="64">
        <f t="shared" si="11"/>
        <v>-247.7</v>
      </c>
      <c r="H137" s="206">
        <f t="shared" si="12"/>
        <v>41.079923882017127</v>
      </c>
    </row>
    <row r="138" spans="1:8" ht="37.5">
      <c r="A138" s="45"/>
      <c r="B138" s="49" t="s">
        <v>250</v>
      </c>
      <c r="C138" s="45"/>
      <c r="D138" s="50">
        <v>1145.3</v>
      </c>
      <c r="E138" s="50">
        <v>940</v>
      </c>
      <c r="F138" s="50">
        <v>1193.5</v>
      </c>
      <c r="G138" s="64">
        <f t="shared" si="11"/>
        <v>253.5</v>
      </c>
      <c r="H138" s="206">
        <f t="shared" si="12"/>
        <v>126.96808510638297</v>
      </c>
    </row>
    <row r="139" spans="1:8">
      <c r="A139" s="45"/>
      <c r="B139" s="69" t="s">
        <v>475</v>
      </c>
      <c r="C139" s="45"/>
      <c r="D139" s="50"/>
      <c r="E139" s="50"/>
      <c r="F139" s="50">
        <v>6.9</v>
      </c>
      <c r="G139" s="64">
        <f t="shared" si="11"/>
        <v>6.9</v>
      </c>
      <c r="H139" s="218" t="e">
        <f t="shared" si="12"/>
        <v>#DIV/0!</v>
      </c>
    </row>
    <row r="140" spans="1:8">
      <c r="A140" s="45"/>
      <c r="B140" s="66" t="s">
        <v>229</v>
      </c>
      <c r="C140" s="45"/>
      <c r="D140" s="50"/>
      <c r="E140" s="50">
        <v>100</v>
      </c>
      <c r="F140" s="50"/>
      <c r="G140" s="64">
        <f t="shared" si="11"/>
        <v>-100</v>
      </c>
      <c r="H140" s="467">
        <f t="shared" si="12"/>
        <v>0</v>
      </c>
    </row>
    <row r="141" spans="1:8">
      <c r="A141" s="45"/>
      <c r="B141" s="49" t="s">
        <v>233</v>
      </c>
      <c r="C141" s="45"/>
      <c r="D141" s="50"/>
      <c r="E141" s="50">
        <v>2</v>
      </c>
      <c r="F141" s="50">
        <v>0.7</v>
      </c>
      <c r="G141" s="64">
        <f t="shared" si="11"/>
        <v>-1.3</v>
      </c>
      <c r="H141" s="467">
        <f t="shared" si="12"/>
        <v>35</v>
      </c>
    </row>
    <row r="142" spans="1:8">
      <c r="A142" s="45"/>
      <c r="B142" s="49" t="s">
        <v>246</v>
      </c>
      <c r="C142" s="45"/>
      <c r="D142" s="50">
        <v>23</v>
      </c>
      <c r="E142" s="50">
        <v>6</v>
      </c>
      <c r="F142" s="50">
        <v>7.5</v>
      </c>
      <c r="G142" s="64">
        <f t="shared" si="11"/>
        <v>1.5</v>
      </c>
      <c r="H142" s="467">
        <f t="shared" si="12"/>
        <v>125</v>
      </c>
    </row>
    <row r="143" spans="1:8">
      <c r="A143" s="45"/>
      <c r="B143" s="49" t="s">
        <v>71</v>
      </c>
      <c r="C143" s="45"/>
      <c r="D143" s="50"/>
      <c r="E143" s="50"/>
      <c r="F143" s="50">
        <v>74.7</v>
      </c>
      <c r="G143" s="64">
        <f t="shared" si="11"/>
        <v>74.7</v>
      </c>
      <c r="H143" s="218" t="e">
        <f t="shared" si="12"/>
        <v>#DIV/0!</v>
      </c>
    </row>
    <row r="144" spans="1:8">
      <c r="A144" s="45"/>
      <c r="B144" s="49" t="s">
        <v>413</v>
      </c>
      <c r="C144" s="45"/>
      <c r="D144" s="50">
        <v>21.3</v>
      </c>
      <c r="E144" s="50"/>
      <c r="F144" s="50">
        <v>27.4</v>
      </c>
      <c r="G144" s="64">
        <f t="shared" si="11"/>
        <v>27.4</v>
      </c>
      <c r="H144" s="218" t="e">
        <f t="shared" si="12"/>
        <v>#DIV/0!</v>
      </c>
    </row>
    <row r="145" spans="1:9">
      <c r="A145" s="45"/>
      <c r="B145" s="87" t="s">
        <v>327</v>
      </c>
      <c r="C145" s="45"/>
      <c r="D145" s="50">
        <v>2.2000000000000002</v>
      </c>
      <c r="E145" s="50">
        <v>3</v>
      </c>
      <c r="F145" s="50">
        <v>1.6</v>
      </c>
      <c r="G145" s="64">
        <f t="shared" si="11"/>
        <v>-1.4</v>
      </c>
      <c r="H145" s="467">
        <f t="shared" si="12"/>
        <v>53.333333333333336</v>
      </c>
    </row>
    <row r="146" spans="1:9">
      <c r="A146" s="186"/>
      <c r="B146" s="187"/>
      <c r="C146" s="186"/>
      <c r="D146" s="399"/>
      <c r="E146" s="399"/>
      <c r="F146" s="399"/>
      <c r="G146" s="188"/>
      <c r="H146" s="189" t="e">
        <f t="shared" ref="H146" si="13">(F146/E146)*100</f>
        <v>#DIV/0!</v>
      </c>
    </row>
    <row r="147" spans="1:9" ht="26.25">
      <c r="A147" s="186"/>
      <c r="B147" s="353" t="s">
        <v>295</v>
      </c>
      <c r="C147" s="117"/>
      <c r="D147" s="507"/>
      <c r="E147" s="508"/>
      <c r="F147" s="417"/>
      <c r="G147" s="509" t="s">
        <v>420</v>
      </c>
      <c r="H147" s="509"/>
      <c r="I147" s="190"/>
    </row>
    <row r="148" spans="1:9" ht="20.25">
      <c r="A148" s="186"/>
      <c r="B148" s="262" t="s">
        <v>12</v>
      </c>
      <c r="C148" s="118"/>
      <c r="D148" s="481" t="s">
        <v>13</v>
      </c>
      <c r="E148" s="481"/>
      <c r="F148" s="119"/>
      <c r="G148" s="477" t="s">
        <v>357</v>
      </c>
      <c r="H148" s="477"/>
      <c r="I148" s="210"/>
    </row>
    <row r="149" spans="1:9">
      <c r="A149" s="186"/>
      <c r="B149" s="114"/>
      <c r="C149" s="186"/>
      <c r="D149" s="399"/>
      <c r="E149" s="399"/>
      <c r="F149" s="399"/>
      <c r="G149" s="188"/>
      <c r="H149" s="189"/>
    </row>
    <row r="150" spans="1:9">
      <c r="B150" s="38"/>
    </row>
    <row r="151" spans="1:9">
      <c r="B151" s="38"/>
    </row>
    <row r="152" spans="1:9">
      <c r="B152" s="38"/>
    </row>
    <row r="153" spans="1:9">
      <c r="B153" s="38"/>
    </row>
    <row r="154" spans="1:9">
      <c r="B154" s="38"/>
    </row>
    <row r="155" spans="1:9">
      <c r="B155" s="38"/>
    </row>
    <row r="156" spans="1:9">
      <c r="B156" s="38"/>
    </row>
    <row r="157" spans="1:9">
      <c r="B157" s="38"/>
    </row>
    <row r="158" spans="1:9">
      <c r="B158" s="38"/>
    </row>
    <row r="159" spans="1:9">
      <c r="B159" s="38"/>
    </row>
    <row r="160" spans="1:9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  <row r="194" spans="2:2">
      <c r="B194" s="38"/>
    </row>
    <row r="195" spans="2:2">
      <c r="B195" s="38"/>
    </row>
    <row r="196" spans="2:2">
      <c r="B196" s="38"/>
    </row>
    <row r="197" spans="2:2">
      <c r="B197" s="38"/>
    </row>
    <row r="198" spans="2:2">
      <c r="B198" s="38"/>
    </row>
    <row r="199" spans="2:2">
      <c r="B199" s="38"/>
    </row>
    <row r="200" spans="2:2">
      <c r="B200" s="38"/>
    </row>
    <row r="201" spans="2:2">
      <c r="B201" s="38"/>
    </row>
    <row r="202" spans="2:2">
      <c r="B202" s="38"/>
    </row>
    <row r="203" spans="2:2">
      <c r="B203" s="38"/>
    </row>
    <row r="204" spans="2:2">
      <c r="B204" s="38"/>
    </row>
    <row r="205" spans="2:2">
      <c r="B205" s="38"/>
    </row>
    <row r="206" spans="2:2">
      <c r="B206" s="38"/>
    </row>
    <row r="207" spans="2:2">
      <c r="B207" s="38"/>
    </row>
    <row r="208" spans="2:2">
      <c r="B208" s="38"/>
    </row>
    <row r="209" spans="2:2">
      <c r="B209" s="38"/>
    </row>
    <row r="210" spans="2:2">
      <c r="B210" s="38"/>
    </row>
    <row r="211" spans="2:2">
      <c r="B211" s="38"/>
    </row>
    <row r="212" spans="2:2">
      <c r="B212" s="38"/>
    </row>
    <row r="213" spans="2:2">
      <c r="B213" s="38"/>
    </row>
    <row r="214" spans="2:2">
      <c r="B214" s="38"/>
    </row>
    <row r="215" spans="2:2">
      <c r="B215" s="38"/>
    </row>
    <row r="216" spans="2:2">
      <c r="B216" s="38"/>
    </row>
    <row r="217" spans="2:2">
      <c r="B217" s="38"/>
    </row>
    <row r="218" spans="2:2">
      <c r="B218" s="38"/>
    </row>
    <row r="219" spans="2:2">
      <c r="B219" s="38"/>
    </row>
    <row r="220" spans="2:2">
      <c r="B220" s="38"/>
    </row>
  </sheetData>
  <mergeCells count="20">
    <mergeCell ref="D147:E147"/>
    <mergeCell ref="G147:H147"/>
    <mergeCell ref="D148:E148"/>
    <mergeCell ref="A29:B29"/>
    <mergeCell ref="A30:B30"/>
    <mergeCell ref="G148:H148"/>
    <mergeCell ref="B2:F2"/>
    <mergeCell ref="A22:B22"/>
    <mergeCell ref="A24:B24"/>
    <mergeCell ref="A6:B6"/>
    <mergeCell ref="A7:B7"/>
    <mergeCell ref="A11:B11"/>
    <mergeCell ref="A28:B28"/>
    <mergeCell ref="A108:B108"/>
    <mergeCell ref="A120:B120"/>
    <mergeCell ref="A54:B54"/>
    <mergeCell ref="A95:B95"/>
    <mergeCell ref="A96:B96"/>
    <mergeCell ref="A100:B100"/>
    <mergeCell ref="A107:B107"/>
  </mergeCells>
  <pageMargins left="0.39370078740157483" right="0.39370078740157483" top="0.78740157480314965" bottom="0.39370078740157483" header="0.31496062992125984" footer="0.31496062992125984"/>
  <pageSetup paperSize="9" scale="89" fitToHeight="8" orientation="landscape" r:id="rId1"/>
  <rowBreaks count="1" manualBreakCount="1">
    <brk id="9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P283"/>
  <sheetViews>
    <sheetView tabSelected="1" view="pageBreakPreview" topLeftCell="A246" zoomScale="70" zoomScaleNormal="70" zoomScaleSheetLayoutView="70" workbookViewId="0">
      <selection activeCell="F252" sqref="F252"/>
    </sheetView>
  </sheetViews>
  <sheetFormatPr defaultRowHeight="18.75"/>
  <cols>
    <col min="1" max="1" width="9.140625" style="28"/>
    <col min="2" max="2" width="106.140625" style="28" customWidth="1"/>
    <col min="3" max="3" width="14.140625" style="37" customWidth="1"/>
    <col min="4" max="4" width="16.140625" style="225" customWidth="1"/>
    <col min="5" max="5" width="16.7109375" style="225" customWidth="1"/>
    <col min="6" max="6" width="16.140625" style="225" customWidth="1"/>
    <col min="7" max="7" width="16.140625" style="376" customWidth="1"/>
    <col min="8" max="8" width="16.42578125" style="376" customWidth="1"/>
    <col min="9" max="9" width="9.140625" style="28"/>
    <col min="10" max="11" width="14.5703125" style="28" bestFit="1" customWidth="1"/>
    <col min="12" max="12" width="15.7109375" style="28" customWidth="1"/>
    <col min="13" max="13" width="18.42578125" style="28" customWidth="1"/>
    <col min="14" max="14" width="18.7109375" style="28" customWidth="1"/>
    <col min="15" max="15" width="9.140625" style="28"/>
    <col min="16" max="17" width="14.5703125" style="28" bestFit="1" customWidth="1"/>
    <col min="18" max="16384" width="9.140625" style="28"/>
  </cols>
  <sheetData>
    <row r="1" spans="1:16" ht="24.75" customHeight="1">
      <c r="B1" s="514" t="s">
        <v>165</v>
      </c>
      <c r="C1" s="514"/>
      <c r="D1" s="514"/>
      <c r="E1" s="514"/>
      <c r="F1" s="514"/>
      <c r="G1" s="514"/>
      <c r="H1" s="514"/>
    </row>
    <row r="2" spans="1:16">
      <c r="B2" s="29"/>
      <c r="C2" s="30"/>
      <c r="D2" s="222"/>
      <c r="E2" s="222"/>
      <c r="F2" s="222"/>
      <c r="H2" s="376" t="s">
        <v>101</v>
      </c>
    </row>
    <row r="3" spans="1:16" ht="71.25" customHeight="1">
      <c r="A3" s="31" t="s">
        <v>114</v>
      </c>
      <c r="B3" s="32" t="s">
        <v>30</v>
      </c>
      <c r="C3" s="33" t="s">
        <v>5</v>
      </c>
      <c r="D3" s="42" t="s">
        <v>426</v>
      </c>
      <c r="E3" s="42" t="s">
        <v>424</v>
      </c>
      <c r="F3" s="42" t="s">
        <v>425</v>
      </c>
      <c r="G3" s="223" t="s">
        <v>155</v>
      </c>
      <c r="H3" s="223" t="s">
        <v>158</v>
      </c>
    </row>
    <row r="4" spans="1:16" ht="30.75" customHeight="1">
      <c r="A4" s="34">
        <v>1</v>
      </c>
      <c r="B4" s="35">
        <v>2</v>
      </c>
      <c r="C4" s="2">
        <v>3</v>
      </c>
      <c r="D4" s="223">
        <v>4</v>
      </c>
      <c r="E4" s="223">
        <v>5</v>
      </c>
      <c r="F4" s="223">
        <v>6</v>
      </c>
      <c r="G4" s="403">
        <v>7</v>
      </c>
      <c r="H4" s="403">
        <v>8</v>
      </c>
    </row>
    <row r="5" spans="1:16" ht="30.75" customHeight="1">
      <c r="A5" s="515" t="s">
        <v>120</v>
      </c>
      <c r="B5" s="515"/>
      <c r="C5" s="71"/>
      <c r="D5" s="405">
        <f>SUM(D6,D106,D150,D160,D167,D184,D200,D219,D240,D224,D134,D155,D236,D247,D252)</f>
        <v>62739.600000000013</v>
      </c>
      <c r="E5" s="405">
        <f>SUM(E6,E106,E150,E160,E167,E184,E200,E219,E240,E224,E134,E155,E236,E247,E252)</f>
        <v>77039.900000000009</v>
      </c>
      <c r="F5" s="405">
        <f>SUM(F6,F106,F150,F160,F167,F184,F200,F219,F240,F224,F134,F155,F236,F247,F252)</f>
        <v>77006.2</v>
      </c>
      <c r="G5" s="204">
        <f>F5-E5</f>
        <v>-33.700000000011642</v>
      </c>
      <c r="H5" s="106">
        <f t="shared" ref="H5:H8" si="0">(F5/E5)*100</f>
        <v>99.956256433354653</v>
      </c>
      <c r="I5" s="72"/>
    </row>
    <row r="6" spans="1:16" ht="29.25" customHeight="1">
      <c r="A6" s="445" t="s">
        <v>121</v>
      </c>
      <c r="B6" s="446" t="s">
        <v>337</v>
      </c>
      <c r="C6" s="373"/>
      <c r="D6" s="346">
        <f>SUM(D8,D70,D85)</f>
        <v>45416.000000000007</v>
      </c>
      <c r="E6" s="346">
        <f>SUM(E8,E70,E85)</f>
        <v>57057.2</v>
      </c>
      <c r="F6" s="346">
        <f>SUM(F8,F70,F85)</f>
        <v>53225.5</v>
      </c>
      <c r="G6" s="447">
        <f t="shared" ref="G6:G8" si="1">F6-E6</f>
        <v>-3831.6999999999971</v>
      </c>
      <c r="H6" s="359">
        <f t="shared" si="0"/>
        <v>93.284458403146317</v>
      </c>
      <c r="I6" s="72"/>
    </row>
    <row r="7" spans="1:16" ht="24.75" customHeight="1">
      <c r="A7" s="75"/>
      <c r="B7" s="432" t="s">
        <v>122</v>
      </c>
      <c r="C7" s="71"/>
      <c r="D7" s="50"/>
      <c r="E7" s="50"/>
      <c r="F7" s="50"/>
      <c r="G7" s="405"/>
      <c r="H7" s="50"/>
      <c r="I7" s="72"/>
      <c r="L7" s="229"/>
      <c r="M7" s="229"/>
      <c r="N7" s="229"/>
    </row>
    <row r="8" spans="1:16" ht="29.25" customHeight="1">
      <c r="A8" s="77" t="s">
        <v>123</v>
      </c>
      <c r="B8" s="78" t="s">
        <v>126</v>
      </c>
      <c r="C8" s="79">
        <v>1010</v>
      </c>
      <c r="D8" s="80">
        <f>D9+D26+D27+D28+D29</f>
        <v>33318.700000000004</v>
      </c>
      <c r="E8" s="80">
        <f>E9+E26+E27+E28+E29</f>
        <v>41023.699999999997</v>
      </c>
      <c r="F8" s="80">
        <f>F26+F27+F29+F9+F28</f>
        <v>39499.399999999994</v>
      </c>
      <c r="G8" s="80">
        <f t="shared" si="1"/>
        <v>-1524.3000000000029</v>
      </c>
      <c r="H8" s="227">
        <f t="shared" si="0"/>
        <v>96.284342952975948</v>
      </c>
      <c r="I8" s="72"/>
      <c r="L8" s="231">
        <f>L9+L16+L23</f>
        <v>62739.600000000006</v>
      </c>
      <c r="M8" s="36">
        <f t="shared" ref="M8" si="2">M9+M16+M23</f>
        <v>77039.899999999994</v>
      </c>
      <c r="N8" s="231">
        <f>N9+N16+N23</f>
        <v>77006.2</v>
      </c>
    </row>
    <row r="9" spans="1:16" ht="25.5" customHeight="1">
      <c r="A9" s="81" t="s">
        <v>251</v>
      </c>
      <c r="B9" s="82" t="s">
        <v>334</v>
      </c>
      <c r="C9" s="83">
        <v>1011</v>
      </c>
      <c r="D9" s="47">
        <f>SUM(D10:D25)</f>
        <v>2906.9000000000005</v>
      </c>
      <c r="E9" s="47">
        <f t="shared" ref="E9:F9" si="3">SUM(E10:E25)</f>
        <v>3212.1</v>
      </c>
      <c r="F9" s="47">
        <f t="shared" si="3"/>
        <v>1757.2</v>
      </c>
      <c r="G9" s="47">
        <f>F9-E9</f>
        <v>-1454.8999999999999</v>
      </c>
      <c r="H9" s="406">
        <f>(F9/E9)*100</f>
        <v>54.705644282556584</v>
      </c>
      <c r="I9" s="72"/>
      <c r="K9" s="36">
        <v>1010</v>
      </c>
      <c r="L9" s="230">
        <f>SUM(D8,D108,D136,D152,D169,D186,D202,D221,D226,D238,D242,D249)</f>
        <v>42200.900000000009</v>
      </c>
      <c r="M9" s="230">
        <f>SUM(E8,E108,E136,E152,E169,E186,E202,E221,E226,E238,E242,E249,E157)</f>
        <v>51013.69999999999</v>
      </c>
      <c r="N9" s="230">
        <f>SUM(F8,F108,F136,F152,F169,F186,F202,F221,F226,F238,F242,F249,F157)</f>
        <v>47632.999999999993</v>
      </c>
    </row>
    <row r="10" spans="1:16" ht="21" customHeight="1">
      <c r="A10" s="84"/>
      <c r="B10" s="89" t="s">
        <v>431</v>
      </c>
      <c r="C10" s="85"/>
      <c r="D10" s="47"/>
      <c r="E10" s="50">
        <v>58.1</v>
      </c>
      <c r="F10" s="50">
        <v>18.2</v>
      </c>
      <c r="G10" s="50">
        <f t="shared" ref="G10" si="4">F10-E10</f>
        <v>-39.900000000000006</v>
      </c>
      <c r="H10" s="228">
        <f t="shared" ref="H10" si="5">(F10/E10)*100</f>
        <v>31.325301204819272</v>
      </c>
      <c r="I10" s="72"/>
      <c r="K10" s="36">
        <v>1011</v>
      </c>
      <c r="L10" s="229">
        <f>SUM(D9,D109,D137,D153,D170,D187,D203,D227,)</f>
        <v>10934.400000000001</v>
      </c>
      <c r="M10" s="229">
        <f>SUM(E9,E109,E137,E153,E170,E187,E203,E227,)</f>
        <v>12430.5</v>
      </c>
      <c r="N10" s="229">
        <f>SUM(F9,F109,F137,F153,F170,F187,F203,F227,F158)</f>
        <v>8624.7999999999993</v>
      </c>
    </row>
    <row r="11" spans="1:16" ht="20.25" customHeight="1">
      <c r="A11" s="84"/>
      <c r="B11" s="85" t="s">
        <v>273</v>
      </c>
      <c r="C11" s="85"/>
      <c r="D11" s="50">
        <v>83.7</v>
      </c>
      <c r="E11" s="50">
        <v>40</v>
      </c>
      <c r="F11" s="50">
        <v>20.100000000000001</v>
      </c>
      <c r="G11" s="50">
        <f t="shared" ref="G11:G74" si="6">F11-E11</f>
        <v>-19.899999999999999</v>
      </c>
      <c r="H11" s="228">
        <f t="shared" ref="H11:H74" si="7">(F11/E11)*100</f>
        <v>50.250000000000007</v>
      </c>
      <c r="I11" s="72"/>
      <c r="K11" s="36">
        <v>1012</v>
      </c>
      <c r="L11" s="229">
        <f>SUM(D26,D222,D250)</f>
        <v>23712.3</v>
      </c>
      <c r="M11" s="229">
        <f>SUM(E26,E222,E250)</f>
        <v>29941.4</v>
      </c>
      <c r="N11" s="229">
        <f>SUM(F26,F222,F250)</f>
        <v>29974.9</v>
      </c>
      <c r="P11" s="217"/>
    </row>
    <row r="12" spans="1:16" ht="24.75" customHeight="1">
      <c r="A12" s="84"/>
      <c r="B12" s="85" t="s">
        <v>189</v>
      </c>
      <c r="C12" s="85"/>
      <c r="D12" s="50">
        <v>202.8</v>
      </c>
      <c r="E12" s="50">
        <v>350</v>
      </c>
      <c r="F12" s="50">
        <v>79.3</v>
      </c>
      <c r="G12" s="50">
        <f t="shared" si="6"/>
        <v>-270.7</v>
      </c>
      <c r="H12" s="228">
        <f t="shared" si="7"/>
        <v>22.657142857142855</v>
      </c>
      <c r="I12" s="72"/>
      <c r="K12" s="36">
        <v>1013</v>
      </c>
      <c r="L12" s="229">
        <f>SUM(D27,D223)</f>
        <v>5111.8999999999996</v>
      </c>
      <c r="M12" s="229">
        <f>SUM(E27,E223)</f>
        <v>6476.3</v>
      </c>
      <c r="N12" s="229">
        <f>SUM(F27,F223,F251)</f>
        <v>6368.9</v>
      </c>
    </row>
    <row r="13" spans="1:16" ht="23.25" customHeight="1">
      <c r="A13" s="84"/>
      <c r="B13" s="85" t="s">
        <v>311</v>
      </c>
      <c r="C13" s="85"/>
      <c r="D13" s="50">
        <v>234</v>
      </c>
      <c r="E13" s="50">
        <v>330</v>
      </c>
      <c r="F13" s="50">
        <v>233.9</v>
      </c>
      <c r="G13" s="50">
        <f t="shared" si="6"/>
        <v>-96.1</v>
      </c>
      <c r="H13" s="228">
        <f t="shared" si="7"/>
        <v>70.87878787878789</v>
      </c>
      <c r="I13" s="72"/>
      <c r="K13" s="36">
        <v>1014</v>
      </c>
      <c r="L13" s="229">
        <f>SUM(D28,D239,D243)</f>
        <v>1236.9000000000001</v>
      </c>
      <c r="M13" s="229">
        <f t="shared" ref="M13:N13" si="8">SUM(E28,E239,E243)</f>
        <v>1132</v>
      </c>
      <c r="N13" s="229">
        <f t="shared" si="8"/>
        <v>1868.6999999999998</v>
      </c>
    </row>
    <row r="14" spans="1:16" ht="23.25" customHeight="1">
      <c r="A14" s="84"/>
      <c r="B14" s="85" t="s">
        <v>312</v>
      </c>
      <c r="C14" s="85"/>
      <c r="D14" s="50">
        <v>853.6</v>
      </c>
      <c r="E14" s="50">
        <v>1250</v>
      </c>
      <c r="F14" s="50">
        <v>780.2</v>
      </c>
      <c r="G14" s="50">
        <f t="shared" si="6"/>
        <v>-469.79999999999995</v>
      </c>
      <c r="H14" s="228">
        <f t="shared" si="7"/>
        <v>62.416000000000004</v>
      </c>
      <c r="I14" s="72"/>
      <c r="K14" s="36">
        <v>1015</v>
      </c>
      <c r="L14" s="229">
        <f>SUM(D29,D118,D144,D181,D229,)</f>
        <v>1205.4000000000001</v>
      </c>
      <c r="M14" s="229">
        <f>SUM(E29,E118,E144,E181,E229,)</f>
        <v>1033.5</v>
      </c>
      <c r="N14" s="229">
        <f>SUM(F29,F118,F144,F181,F229,)</f>
        <v>795.7</v>
      </c>
    </row>
    <row r="15" spans="1:16" ht="23.25" customHeight="1">
      <c r="A15" s="84"/>
      <c r="B15" s="85" t="s">
        <v>190</v>
      </c>
      <c r="C15" s="85"/>
      <c r="D15" s="50">
        <v>870</v>
      </c>
      <c r="E15" s="50">
        <v>150</v>
      </c>
      <c r="F15" s="50">
        <v>195.5</v>
      </c>
      <c r="G15" s="50">
        <f t="shared" si="6"/>
        <v>45.5</v>
      </c>
      <c r="H15" s="228">
        <f t="shared" si="7"/>
        <v>130.33333333333331</v>
      </c>
      <c r="I15" s="72"/>
      <c r="L15" s="230"/>
      <c r="M15" s="230"/>
      <c r="N15" s="230"/>
      <c r="O15" s="230"/>
    </row>
    <row r="16" spans="1:16" ht="25.5" customHeight="1">
      <c r="A16" s="84"/>
      <c r="B16" s="87" t="s">
        <v>191</v>
      </c>
      <c r="C16" s="85"/>
      <c r="D16" s="50">
        <v>50.3</v>
      </c>
      <c r="E16" s="50">
        <v>75</v>
      </c>
      <c r="F16" s="50">
        <v>95.4</v>
      </c>
      <c r="G16" s="50">
        <f t="shared" si="6"/>
        <v>20.400000000000006</v>
      </c>
      <c r="H16" s="228">
        <f t="shared" si="7"/>
        <v>127.2</v>
      </c>
      <c r="I16" s="72"/>
      <c r="K16" s="36">
        <v>1020</v>
      </c>
      <c r="L16" s="230">
        <f t="shared" ref="L16:N17" si="9">SUM(D70,D210,)</f>
        <v>3014.4999999999995</v>
      </c>
      <c r="M16" s="230">
        <f t="shared" si="9"/>
        <v>3805.9</v>
      </c>
      <c r="N16" s="230">
        <f t="shared" si="9"/>
        <v>3726.9</v>
      </c>
    </row>
    <row r="17" spans="1:16" ht="27" customHeight="1">
      <c r="A17" s="84"/>
      <c r="B17" s="87" t="s">
        <v>192</v>
      </c>
      <c r="C17" s="85"/>
      <c r="D17" s="50">
        <v>22.4</v>
      </c>
      <c r="E17" s="50">
        <v>37</v>
      </c>
      <c r="F17" s="50">
        <v>20.6</v>
      </c>
      <c r="G17" s="50">
        <f t="shared" si="6"/>
        <v>-16.399999999999999</v>
      </c>
      <c r="H17" s="228">
        <f t="shared" si="7"/>
        <v>55.675675675675684</v>
      </c>
      <c r="I17" s="88"/>
      <c r="K17" s="36">
        <v>1021</v>
      </c>
      <c r="L17" s="229">
        <f t="shared" si="9"/>
        <v>63.1</v>
      </c>
      <c r="M17" s="229">
        <f t="shared" si="9"/>
        <v>52.5</v>
      </c>
      <c r="N17" s="229">
        <f t="shared" si="9"/>
        <v>75.900000000000006</v>
      </c>
    </row>
    <row r="18" spans="1:16" ht="23.25" customHeight="1">
      <c r="A18" s="84"/>
      <c r="B18" s="87" t="s">
        <v>193</v>
      </c>
      <c r="C18" s="85"/>
      <c r="D18" s="50">
        <v>1.3</v>
      </c>
      <c r="E18" s="50">
        <v>8</v>
      </c>
      <c r="F18" s="50">
        <v>1.4</v>
      </c>
      <c r="G18" s="50">
        <f t="shared" si="6"/>
        <v>-6.6</v>
      </c>
      <c r="H18" s="228">
        <f t="shared" si="7"/>
        <v>17.5</v>
      </c>
      <c r="I18" s="88"/>
      <c r="K18" s="36">
        <v>1022</v>
      </c>
      <c r="L18" s="229">
        <f>SUM(D75,)</f>
        <v>2362.6999999999998</v>
      </c>
      <c r="M18" s="229">
        <f t="shared" ref="M18:N18" si="10">SUM(E75,)</f>
        <v>3004.1</v>
      </c>
      <c r="N18" s="229">
        <f t="shared" si="10"/>
        <v>2952.6</v>
      </c>
    </row>
    <row r="19" spans="1:16" ht="21.75" customHeight="1">
      <c r="A19" s="84"/>
      <c r="B19" s="87" t="s">
        <v>194</v>
      </c>
      <c r="C19" s="85"/>
      <c r="D19" s="50">
        <v>47.8</v>
      </c>
      <c r="E19" s="50">
        <v>88</v>
      </c>
      <c r="F19" s="50">
        <v>47.2</v>
      </c>
      <c r="G19" s="50">
        <f t="shared" si="6"/>
        <v>-40.799999999999997</v>
      </c>
      <c r="H19" s="228">
        <f t="shared" si="7"/>
        <v>53.63636363636364</v>
      </c>
      <c r="I19" s="88"/>
      <c r="K19" s="36">
        <v>1023</v>
      </c>
      <c r="L19" s="229">
        <f>SUM(D76,)</f>
        <v>509.1</v>
      </c>
      <c r="M19" s="229">
        <f t="shared" ref="M19:N19" si="11">SUM(E76,)</f>
        <v>651.5</v>
      </c>
      <c r="N19" s="229">
        <f t="shared" si="11"/>
        <v>626.9</v>
      </c>
    </row>
    <row r="20" spans="1:16" ht="24.75" customHeight="1">
      <c r="A20" s="84"/>
      <c r="B20" s="87" t="s">
        <v>195</v>
      </c>
      <c r="C20" s="85"/>
      <c r="D20" s="50">
        <v>159.5</v>
      </c>
      <c r="E20" s="50">
        <v>240</v>
      </c>
      <c r="F20" s="50">
        <v>168</v>
      </c>
      <c r="G20" s="50">
        <f t="shared" si="6"/>
        <v>-72</v>
      </c>
      <c r="H20" s="228">
        <f t="shared" si="7"/>
        <v>70</v>
      </c>
      <c r="I20" s="88"/>
      <c r="K20" s="36">
        <v>1024</v>
      </c>
      <c r="L20" s="229">
        <f>SUM(D213,)</f>
        <v>0</v>
      </c>
      <c r="M20" s="229">
        <f t="shared" ref="M20:N20" si="12">SUM(E213,)</f>
        <v>0</v>
      </c>
      <c r="N20" s="229">
        <f t="shared" si="12"/>
        <v>0</v>
      </c>
    </row>
    <row r="21" spans="1:16" ht="24.75" customHeight="1">
      <c r="A21" s="84"/>
      <c r="B21" s="87" t="s">
        <v>197</v>
      </c>
      <c r="C21" s="85"/>
      <c r="D21" s="50">
        <v>23.2</v>
      </c>
      <c r="E21" s="50">
        <v>80</v>
      </c>
      <c r="F21" s="50">
        <v>22.8</v>
      </c>
      <c r="G21" s="50">
        <f t="shared" si="6"/>
        <v>-57.2</v>
      </c>
      <c r="H21" s="228">
        <f t="shared" si="7"/>
        <v>28.500000000000004</v>
      </c>
      <c r="I21" s="88"/>
      <c r="K21" s="36">
        <v>1025</v>
      </c>
      <c r="L21" s="229">
        <f>SUM(D78,)</f>
        <v>79.600000000000009</v>
      </c>
      <c r="M21" s="229">
        <f t="shared" ref="M21:N21" si="13">SUM(E78,)</f>
        <v>97.8</v>
      </c>
      <c r="N21" s="229">
        <f t="shared" si="13"/>
        <v>71.5</v>
      </c>
      <c r="P21" s="217"/>
    </row>
    <row r="22" spans="1:16" ht="24.75" customHeight="1">
      <c r="A22" s="84"/>
      <c r="B22" s="89" t="s">
        <v>198</v>
      </c>
      <c r="C22" s="85"/>
      <c r="D22" s="50">
        <v>75.8</v>
      </c>
      <c r="E22" s="50">
        <v>175</v>
      </c>
      <c r="F22" s="50">
        <v>57.1</v>
      </c>
      <c r="G22" s="50">
        <f t="shared" si="6"/>
        <v>-117.9</v>
      </c>
      <c r="H22" s="228">
        <f t="shared" si="7"/>
        <v>32.628571428571426</v>
      </c>
      <c r="I22" s="88"/>
      <c r="L22" s="229"/>
      <c r="M22" s="229"/>
      <c r="N22" s="229"/>
    </row>
    <row r="23" spans="1:16" ht="24" customHeight="1">
      <c r="A23" s="84"/>
      <c r="B23" s="89" t="s">
        <v>199</v>
      </c>
      <c r="C23" s="85"/>
      <c r="D23" s="50">
        <v>281.10000000000002</v>
      </c>
      <c r="E23" s="50">
        <v>243</v>
      </c>
      <c r="F23" s="50">
        <v>16</v>
      </c>
      <c r="G23" s="50">
        <f t="shared" si="6"/>
        <v>-227</v>
      </c>
      <c r="H23" s="228">
        <f t="shared" si="7"/>
        <v>6.5843621399176957</v>
      </c>
      <c r="I23" s="88"/>
      <c r="K23" s="36">
        <v>1030</v>
      </c>
      <c r="L23" s="230">
        <f>SUM(D85,D122,D146,D162,D194,D214,D231,D244)</f>
        <v>17524.199999999997</v>
      </c>
      <c r="M23" s="230">
        <f>SUM(E85,E122,E146,E162,E194,E214,E231,E244)</f>
        <v>22220.3</v>
      </c>
      <c r="N23" s="230">
        <f>SUM(F85,F122,F146,F162,F194,F214,F231,F244,F254)</f>
        <v>25646.300000000007</v>
      </c>
    </row>
    <row r="24" spans="1:16" ht="21.75" customHeight="1">
      <c r="A24" s="84"/>
      <c r="B24" s="89" t="s">
        <v>336</v>
      </c>
      <c r="C24" s="85"/>
      <c r="D24" s="47"/>
      <c r="E24" s="50">
        <v>86.5</v>
      </c>
      <c r="F24" s="50"/>
      <c r="G24" s="50">
        <f t="shared" si="6"/>
        <v>-86.5</v>
      </c>
      <c r="H24" s="228">
        <f t="shared" si="7"/>
        <v>0</v>
      </c>
      <c r="I24" s="88"/>
      <c r="K24" s="36">
        <v>1031</v>
      </c>
      <c r="L24" s="229">
        <f>SUM(D123,D147,D163,D195,D215,D255)</f>
        <v>6675.2000000000007</v>
      </c>
      <c r="M24" s="229">
        <f>SUM(E123,E147,E163,E195,E215,E255)</f>
        <v>8390.3000000000011</v>
      </c>
      <c r="N24" s="229">
        <f>SUM(F123,F147,F163,F195,F215,F255)</f>
        <v>13993.6</v>
      </c>
    </row>
    <row r="25" spans="1:16" ht="22.5" customHeight="1">
      <c r="A25" s="84"/>
      <c r="B25" s="87" t="s">
        <v>196</v>
      </c>
      <c r="C25" s="85"/>
      <c r="D25" s="50">
        <v>1.4</v>
      </c>
      <c r="E25" s="50">
        <v>1.5</v>
      </c>
      <c r="F25" s="50">
        <v>1.5</v>
      </c>
      <c r="G25" s="50">
        <f t="shared" si="6"/>
        <v>0</v>
      </c>
      <c r="H25" s="228">
        <f t="shared" si="7"/>
        <v>100</v>
      </c>
      <c r="I25" s="88"/>
      <c r="K25" s="36">
        <v>1032</v>
      </c>
      <c r="L25" s="229">
        <f>SUM(D86,)</f>
        <v>7415.6</v>
      </c>
      <c r="M25" s="229">
        <f t="shared" ref="M25:N25" si="14">SUM(E86,)</f>
        <v>9845.2999999999993</v>
      </c>
      <c r="N25" s="229">
        <f t="shared" si="14"/>
        <v>8136.3</v>
      </c>
    </row>
    <row r="26" spans="1:16" ht="24.75" customHeight="1">
      <c r="A26" s="81" t="s">
        <v>252</v>
      </c>
      <c r="B26" s="90" t="s">
        <v>2</v>
      </c>
      <c r="C26" s="83">
        <v>1012</v>
      </c>
      <c r="D26" s="47">
        <v>23578.3</v>
      </c>
      <c r="E26" s="47">
        <v>29707.4</v>
      </c>
      <c r="F26" s="47">
        <v>29871.5</v>
      </c>
      <c r="G26" s="47">
        <f t="shared" si="6"/>
        <v>164.09999999999854</v>
      </c>
      <c r="H26" s="406">
        <f t="shared" si="7"/>
        <v>100.55238762059284</v>
      </c>
      <c r="I26" s="88"/>
      <c r="K26" s="36">
        <v>1033</v>
      </c>
      <c r="L26" s="349">
        <f>SUM(D87,)</f>
        <v>1600.4</v>
      </c>
      <c r="M26" s="349">
        <f t="shared" ref="M26:N26" si="15">SUM(E87,)</f>
        <v>2135.1</v>
      </c>
      <c r="N26" s="349">
        <f t="shared" si="15"/>
        <v>1730.4</v>
      </c>
    </row>
    <row r="27" spans="1:16" ht="24.75" customHeight="1">
      <c r="A27" s="81" t="s">
        <v>253</v>
      </c>
      <c r="B27" s="90" t="s">
        <v>3</v>
      </c>
      <c r="C27" s="83">
        <v>1013</v>
      </c>
      <c r="D27" s="47">
        <v>5090.7</v>
      </c>
      <c r="E27" s="47">
        <v>6439.1</v>
      </c>
      <c r="F27" s="47">
        <v>6346.2</v>
      </c>
      <c r="G27" s="47">
        <f t="shared" si="6"/>
        <v>-92.900000000000546</v>
      </c>
      <c r="H27" s="406">
        <f t="shared" si="7"/>
        <v>98.557251789846404</v>
      </c>
      <c r="I27" s="88"/>
      <c r="K27" s="36">
        <v>1034</v>
      </c>
      <c r="L27" s="217">
        <f>SUM(D245)</f>
        <v>19.600000000000001</v>
      </c>
      <c r="M27" s="217">
        <f t="shared" ref="M27:N27" si="16">SUM(E245)</f>
        <v>19.600000000000001</v>
      </c>
      <c r="N27" s="217">
        <f t="shared" si="16"/>
        <v>19.399999999999999</v>
      </c>
    </row>
    <row r="28" spans="1:16" ht="24.75" customHeight="1">
      <c r="A28" s="81" t="s">
        <v>499</v>
      </c>
      <c r="B28" s="90" t="s">
        <v>254</v>
      </c>
      <c r="C28" s="83">
        <v>1014</v>
      </c>
      <c r="D28" s="47">
        <f>700.3+19.6</f>
        <v>719.9</v>
      </c>
      <c r="E28" s="47">
        <v>732</v>
      </c>
      <c r="F28" s="47">
        <v>767.8</v>
      </c>
      <c r="G28" s="47">
        <f t="shared" si="6"/>
        <v>35.799999999999955</v>
      </c>
      <c r="H28" s="406">
        <f t="shared" si="7"/>
        <v>104.89071038251365</v>
      </c>
      <c r="I28" s="88"/>
      <c r="J28" s="217"/>
      <c r="K28" s="36">
        <v>1035</v>
      </c>
      <c r="L28" s="229">
        <f>SUM(D88,D128,D232)</f>
        <v>1813.3999999999999</v>
      </c>
      <c r="M28" s="229">
        <f>SUM(E88,E128,E232)</f>
        <v>1830</v>
      </c>
      <c r="N28" s="229">
        <f>SUM(F88,F128,F232)</f>
        <v>1766.6000000000001</v>
      </c>
    </row>
    <row r="29" spans="1:16" ht="23.25" customHeight="1">
      <c r="A29" s="81" t="s">
        <v>255</v>
      </c>
      <c r="B29" s="90" t="s">
        <v>339</v>
      </c>
      <c r="C29" s="83">
        <v>1015</v>
      </c>
      <c r="D29" s="47">
        <f>SUM(D30:D65)</f>
        <v>1022.9000000000001</v>
      </c>
      <c r="E29" s="47">
        <f>SUM(E30:E65)</f>
        <v>933.1</v>
      </c>
      <c r="F29" s="47">
        <f>SUM(F30:F69)</f>
        <v>756.7</v>
      </c>
      <c r="G29" s="47">
        <f t="shared" si="6"/>
        <v>-176.39999999999998</v>
      </c>
      <c r="H29" s="406">
        <f t="shared" si="7"/>
        <v>81.095273818454615</v>
      </c>
      <c r="I29" s="88"/>
      <c r="L29" s="229"/>
      <c r="M29" s="229"/>
      <c r="N29" s="229"/>
    </row>
    <row r="30" spans="1:16" ht="24.75" customHeight="1">
      <c r="A30" s="84"/>
      <c r="B30" s="87" t="s">
        <v>206</v>
      </c>
      <c r="C30" s="71"/>
      <c r="D30" s="50">
        <v>58.8</v>
      </c>
      <c r="E30" s="50">
        <v>80</v>
      </c>
      <c r="F30" s="50"/>
      <c r="G30" s="50">
        <f t="shared" si="6"/>
        <v>-80</v>
      </c>
      <c r="H30" s="228">
        <f t="shared" si="7"/>
        <v>0</v>
      </c>
      <c r="I30" s="88"/>
      <c r="K30" s="36">
        <v>9000</v>
      </c>
      <c r="L30" s="441">
        <f>L10+L17+L24</f>
        <v>17672.700000000004</v>
      </c>
      <c r="M30" s="441">
        <f t="shared" ref="M30:N30" si="17">M10+M17+M24</f>
        <v>20873.300000000003</v>
      </c>
      <c r="N30" s="441">
        <f t="shared" si="17"/>
        <v>22694.3</v>
      </c>
    </row>
    <row r="31" spans="1:16" ht="24.75" customHeight="1">
      <c r="A31" s="84"/>
      <c r="B31" s="89" t="s">
        <v>338</v>
      </c>
      <c r="C31" s="71"/>
      <c r="D31" s="50">
        <v>38.200000000000003</v>
      </c>
      <c r="E31" s="50">
        <v>40</v>
      </c>
      <c r="F31" s="50">
        <v>70.099999999999994</v>
      </c>
      <c r="G31" s="50">
        <f t="shared" si="6"/>
        <v>30.099999999999994</v>
      </c>
      <c r="H31" s="228">
        <f t="shared" si="7"/>
        <v>175.25</v>
      </c>
      <c r="I31" s="88"/>
      <c r="K31" s="36">
        <v>9010</v>
      </c>
      <c r="L31" s="441">
        <f>L11+L18+L25</f>
        <v>33490.6</v>
      </c>
      <c r="M31" s="441">
        <f t="shared" ref="M31:N31" si="18">M11+M18+M25</f>
        <v>42790.8</v>
      </c>
      <c r="N31" s="441">
        <f t="shared" si="18"/>
        <v>41063.800000000003</v>
      </c>
    </row>
    <row r="32" spans="1:16" ht="24.75" customHeight="1">
      <c r="A32" s="84"/>
      <c r="B32" s="87" t="s">
        <v>208</v>
      </c>
      <c r="C32" s="71"/>
      <c r="D32" s="50">
        <v>36.5</v>
      </c>
      <c r="E32" s="50">
        <v>70</v>
      </c>
      <c r="F32" s="50">
        <v>20.5</v>
      </c>
      <c r="G32" s="50">
        <f t="shared" si="6"/>
        <v>-49.5</v>
      </c>
      <c r="H32" s="228">
        <f t="shared" si="7"/>
        <v>29.285714285714288</v>
      </c>
      <c r="I32" s="88"/>
      <c r="K32" s="36">
        <v>9020</v>
      </c>
      <c r="L32" s="441">
        <f t="shared" ref="L32:N33" si="19">L12+L19+L26</f>
        <v>7221.4</v>
      </c>
      <c r="M32" s="441">
        <f t="shared" si="19"/>
        <v>9262.9</v>
      </c>
      <c r="N32" s="441">
        <f t="shared" si="19"/>
        <v>8726.1999999999989</v>
      </c>
    </row>
    <row r="33" spans="1:14" ht="24.75" customHeight="1">
      <c r="A33" s="84"/>
      <c r="B33" s="87" t="s">
        <v>209</v>
      </c>
      <c r="C33" s="71"/>
      <c r="D33" s="50">
        <v>111.5</v>
      </c>
      <c r="E33" s="50">
        <v>60</v>
      </c>
      <c r="F33" s="50">
        <v>54.5</v>
      </c>
      <c r="G33" s="50">
        <f t="shared" si="6"/>
        <v>-5.5</v>
      </c>
      <c r="H33" s="228">
        <f t="shared" si="7"/>
        <v>90.833333333333329</v>
      </c>
      <c r="I33" s="88"/>
      <c r="K33" s="36">
        <v>9030</v>
      </c>
      <c r="L33" s="441">
        <f t="shared" si="19"/>
        <v>1256.5</v>
      </c>
      <c r="M33" s="441">
        <f t="shared" si="19"/>
        <v>1151.5999999999999</v>
      </c>
      <c r="N33" s="441">
        <f t="shared" si="19"/>
        <v>1888.1</v>
      </c>
    </row>
    <row r="34" spans="1:14" ht="24.75" customHeight="1">
      <c r="A34" s="84"/>
      <c r="B34" s="87" t="s">
        <v>210</v>
      </c>
      <c r="C34" s="71"/>
      <c r="D34" s="50">
        <v>10.5</v>
      </c>
      <c r="E34" s="50">
        <v>8</v>
      </c>
      <c r="F34" s="50">
        <v>13.4</v>
      </c>
      <c r="G34" s="50">
        <f t="shared" si="6"/>
        <v>5.4</v>
      </c>
      <c r="H34" s="228">
        <f t="shared" si="7"/>
        <v>167.5</v>
      </c>
      <c r="I34" s="88"/>
      <c r="K34" s="36">
        <v>9040</v>
      </c>
      <c r="L34" s="441">
        <f>L14+L21+L28</f>
        <v>3098.3999999999996</v>
      </c>
      <c r="M34" s="441">
        <f t="shared" ref="M34:N34" si="20">M14+M21+M28</f>
        <v>2961.3</v>
      </c>
      <c r="N34" s="441">
        <f t="shared" si="20"/>
        <v>2633.8</v>
      </c>
    </row>
    <row r="35" spans="1:14" ht="24.75" customHeight="1">
      <c r="A35" s="84"/>
      <c r="B35" s="87" t="s">
        <v>211</v>
      </c>
      <c r="C35" s="71"/>
      <c r="D35" s="50">
        <v>58.8</v>
      </c>
      <c r="E35" s="50">
        <v>60</v>
      </c>
      <c r="F35" s="50">
        <v>66.3</v>
      </c>
      <c r="G35" s="50">
        <f t="shared" si="6"/>
        <v>6.2999999999999972</v>
      </c>
      <c r="H35" s="228">
        <f t="shared" si="7"/>
        <v>110.5</v>
      </c>
      <c r="I35" s="88"/>
      <c r="K35" s="36">
        <v>9050</v>
      </c>
      <c r="L35" s="36">
        <f>SUM(L30:L34)</f>
        <v>62739.600000000006</v>
      </c>
      <c r="M35" s="36">
        <f t="shared" ref="M35:N35" si="21">SUM(M30:M34)</f>
        <v>77039.900000000009</v>
      </c>
      <c r="N35" s="36">
        <f t="shared" si="21"/>
        <v>77006.200000000012</v>
      </c>
    </row>
    <row r="36" spans="1:14" ht="24.75" customHeight="1">
      <c r="A36" s="84"/>
      <c r="B36" s="89" t="s">
        <v>212</v>
      </c>
      <c r="C36" s="71"/>
      <c r="D36" s="50">
        <v>16.899999999999999</v>
      </c>
      <c r="E36" s="50"/>
      <c r="F36" s="50">
        <v>74.3</v>
      </c>
      <c r="G36" s="50">
        <f t="shared" si="6"/>
        <v>74.3</v>
      </c>
      <c r="H36" s="216" t="e">
        <f t="shared" si="7"/>
        <v>#DIV/0!</v>
      </c>
      <c r="I36" s="88"/>
    </row>
    <row r="37" spans="1:14" ht="24.75" customHeight="1">
      <c r="A37" s="84"/>
      <c r="B37" s="89" t="s">
        <v>213</v>
      </c>
      <c r="C37" s="71"/>
      <c r="D37" s="50">
        <v>35.200000000000003</v>
      </c>
      <c r="E37" s="50">
        <v>36</v>
      </c>
      <c r="F37" s="50">
        <v>97.8</v>
      </c>
      <c r="G37" s="50">
        <f t="shared" si="6"/>
        <v>61.8</v>
      </c>
      <c r="H37" s="228">
        <f t="shared" si="7"/>
        <v>271.66666666666669</v>
      </c>
      <c r="I37" s="88"/>
    </row>
    <row r="38" spans="1:14" ht="24.75" customHeight="1">
      <c r="A38" s="84"/>
      <c r="B38" s="89" t="s">
        <v>214</v>
      </c>
      <c r="C38" s="71"/>
      <c r="D38" s="50">
        <v>9.1</v>
      </c>
      <c r="E38" s="50">
        <v>7.5</v>
      </c>
      <c r="F38" s="50">
        <v>7.1</v>
      </c>
      <c r="G38" s="50">
        <f t="shared" si="6"/>
        <v>-0.40000000000000036</v>
      </c>
      <c r="H38" s="228">
        <f t="shared" si="7"/>
        <v>94.666666666666671</v>
      </c>
      <c r="I38" s="88"/>
    </row>
    <row r="39" spans="1:14" ht="24.75" customHeight="1">
      <c r="A39" s="84"/>
      <c r="B39" s="89" t="s">
        <v>441</v>
      </c>
      <c r="C39" s="71"/>
      <c r="D39" s="50"/>
      <c r="E39" s="50"/>
      <c r="F39" s="50">
        <v>20.2</v>
      </c>
      <c r="G39" s="50">
        <f t="shared" si="6"/>
        <v>20.2</v>
      </c>
      <c r="H39" s="216" t="e">
        <f t="shared" si="7"/>
        <v>#DIV/0!</v>
      </c>
      <c r="I39" s="88"/>
    </row>
    <row r="40" spans="1:14" ht="24.75" customHeight="1">
      <c r="A40" s="84"/>
      <c r="B40" s="87" t="s">
        <v>215</v>
      </c>
      <c r="C40" s="71"/>
      <c r="D40" s="50">
        <v>31.6</v>
      </c>
      <c r="E40" s="50">
        <v>38.4</v>
      </c>
      <c r="F40" s="50">
        <v>39</v>
      </c>
      <c r="G40" s="50">
        <f t="shared" si="6"/>
        <v>0.60000000000000142</v>
      </c>
      <c r="H40" s="228">
        <f t="shared" si="7"/>
        <v>101.5625</v>
      </c>
      <c r="I40" s="88"/>
    </row>
    <row r="41" spans="1:14" ht="24.75" customHeight="1">
      <c r="A41" s="84"/>
      <c r="B41" s="87" t="s">
        <v>216</v>
      </c>
      <c r="C41" s="71"/>
      <c r="D41" s="50">
        <v>23</v>
      </c>
      <c r="E41" s="50">
        <v>4</v>
      </c>
      <c r="F41" s="50">
        <v>3</v>
      </c>
      <c r="G41" s="50">
        <f t="shared" si="6"/>
        <v>-1</v>
      </c>
      <c r="H41" s="228">
        <f t="shared" si="7"/>
        <v>75</v>
      </c>
      <c r="I41" s="88"/>
    </row>
    <row r="42" spans="1:14" ht="24.75" customHeight="1">
      <c r="A42" s="84"/>
      <c r="B42" s="87" t="s">
        <v>245</v>
      </c>
      <c r="C42" s="71"/>
      <c r="D42" s="50">
        <v>1</v>
      </c>
      <c r="E42" s="50">
        <v>2</v>
      </c>
      <c r="F42" s="50"/>
      <c r="G42" s="50">
        <f t="shared" si="6"/>
        <v>-2</v>
      </c>
      <c r="H42" s="228">
        <f t="shared" si="7"/>
        <v>0</v>
      </c>
      <c r="I42" s="88"/>
    </row>
    <row r="43" spans="1:14" ht="24.75" hidden="1" customHeight="1">
      <c r="A43" s="84"/>
      <c r="B43" s="87" t="s">
        <v>246</v>
      </c>
      <c r="C43" s="71"/>
      <c r="D43" s="50"/>
      <c r="E43" s="50"/>
      <c r="F43" s="50"/>
      <c r="G43" s="50">
        <f t="shared" si="6"/>
        <v>0</v>
      </c>
      <c r="H43" s="228" t="e">
        <f t="shared" si="7"/>
        <v>#DIV/0!</v>
      </c>
      <c r="I43" s="88"/>
    </row>
    <row r="44" spans="1:14" ht="24.75" hidden="1" customHeight="1">
      <c r="A44" s="84"/>
      <c r="B44" s="87" t="s">
        <v>231</v>
      </c>
      <c r="C44" s="71"/>
      <c r="D44" s="50"/>
      <c r="E44" s="50"/>
      <c r="F44" s="50"/>
      <c r="G44" s="50">
        <f t="shared" si="6"/>
        <v>0</v>
      </c>
      <c r="H44" s="228" t="e">
        <f t="shared" si="7"/>
        <v>#DIV/0!</v>
      </c>
      <c r="I44" s="88"/>
    </row>
    <row r="45" spans="1:14" ht="24.75" customHeight="1">
      <c r="A45" s="84"/>
      <c r="B45" s="87" t="s">
        <v>256</v>
      </c>
      <c r="C45" s="71"/>
      <c r="D45" s="50">
        <v>6.8</v>
      </c>
      <c r="E45" s="50">
        <v>8</v>
      </c>
      <c r="F45" s="50">
        <v>8.4</v>
      </c>
      <c r="G45" s="50">
        <f t="shared" si="6"/>
        <v>0.40000000000000036</v>
      </c>
      <c r="H45" s="228">
        <f t="shared" si="7"/>
        <v>105</v>
      </c>
      <c r="I45" s="88"/>
    </row>
    <row r="46" spans="1:14" ht="24.75" customHeight="1">
      <c r="A46" s="84"/>
      <c r="B46" s="87" t="s">
        <v>218</v>
      </c>
      <c r="C46" s="71"/>
      <c r="D46" s="50">
        <v>11.6</v>
      </c>
      <c r="E46" s="50">
        <v>12</v>
      </c>
      <c r="F46" s="50">
        <v>13.4</v>
      </c>
      <c r="G46" s="50">
        <f t="shared" si="6"/>
        <v>1.4000000000000004</v>
      </c>
      <c r="H46" s="228">
        <f t="shared" si="7"/>
        <v>111.66666666666667</v>
      </c>
      <c r="I46" s="88"/>
    </row>
    <row r="47" spans="1:14" ht="24.75" customHeight="1">
      <c r="A47" s="84"/>
      <c r="B47" s="87" t="s">
        <v>219</v>
      </c>
      <c r="C47" s="71"/>
      <c r="D47" s="50">
        <v>6.6</v>
      </c>
      <c r="E47" s="50">
        <v>6</v>
      </c>
      <c r="F47" s="50"/>
      <c r="G47" s="50">
        <f t="shared" si="6"/>
        <v>-6</v>
      </c>
      <c r="H47" s="228">
        <f t="shared" si="7"/>
        <v>0</v>
      </c>
      <c r="I47" s="88"/>
    </row>
    <row r="48" spans="1:14" ht="24.75" customHeight="1">
      <c r="A48" s="84"/>
      <c r="B48" s="87" t="s">
        <v>220</v>
      </c>
      <c r="C48" s="71"/>
      <c r="D48" s="50"/>
      <c r="E48" s="50">
        <v>0.8</v>
      </c>
      <c r="F48" s="50"/>
      <c r="G48" s="50">
        <f t="shared" si="6"/>
        <v>-0.8</v>
      </c>
      <c r="H48" s="228">
        <f t="shared" si="7"/>
        <v>0</v>
      </c>
      <c r="I48" s="88"/>
    </row>
    <row r="49" spans="1:9" ht="24.75" customHeight="1">
      <c r="A49" s="84"/>
      <c r="B49" s="87" t="s">
        <v>221</v>
      </c>
      <c r="C49" s="71"/>
      <c r="D49" s="50">
        <v>92</v>
      </c>
      <c r="E49" s="50">
        <v>132</v>
      </c>
      <c r="F49" s="50"/>
      <c r="G49" s="50">
        <f t="shared" si="6"/>
        <v>-132</v>
      </c>
      <c r="H49" s="228">
        <f t="shared" si="7"/>
        <v>0</v>
      </c>
      <c r="I49" s="88"/>
    </row>
    <row r="50" spans="1:9" ht="24.75" customHeight="1">
      <c r="A50" s="84"/>
      <c r="B50" s="87" t="s">
        <v>222</v>
      </c>
      <c r="C50" s="71"/>
      <c r="D50" s="50"/>
      <c r="E50" s="50">
        <v>25</v>
      </c>
      <c r="F50" s="50"/>
      <c r="G50" s="50">
        <f t="shared" si="6"/>
        <v>-25</v>
      </c>
      <c r="H50" s="228">
        <f t="shared" si="7"/>
        <v>0</v>
      </c>
      <c r="I50" s="88"/>
    </row>
    <row r="51" spans="1:9" ht="24.75" customHeight="1">
      <c r="A51" s="84"/>
      <c r="B51" s="87" t="s">
        <v>313</v>
      </c>
      <c r="C51" s="71"/>
      <c r="D51" s="50">
        <v>216.4</v>
      </c>
      <c r="E51" s="50">
        <v>112</v>
      </c>
      <c r="F51" s="50">
        <v>98.2</v>
      </c>
      <c r="G51" s="50">
        <f t="shared" si="6"/>
        <v>-13.799999999999997</v>
      </c>
      <c r="H51" s="228">
        <f t="shared" si="7"/>
        <v>87.678571428571431</v>
      </c>
      <c r="I51" s="88"/>
    </row>
    <row r="52" spans="1:9" ht="24.75" customHeight="1">
      <c r="A52" s="84"/>
      <c r="B52" s="87" t="s">
        <v>307</v>
      </c>
      <c r="C52" s="71"/>
      <c r="D52" s="50">
        <v>0.5</v>
      </c>
      <c r="E52" s="50">
        <v>0.4</v>
      </c>
      <c r="F52" s="50"/>
      <c r="G52" s="50">
        <f t="shared" si="6"/>
        <v>-0.4</v>
      </c>
      <c r="H52" s="228">
        <f t="shared" si="7"/>
        <v>0</v>
      </c>
      <c r="I52" s="88"/>
    </row>
    <row r="53" spans="1:9" ht="24.75" customHeight="1">
      <c r="A53" s="84"/>
      <c r="B53" s="87" t="s">
        <v>320</v>
      </c>
      <c r="C53" s="71"/>
      <c r="D53" s="50">
        <v>110</v>
      </c>
      <c r="E53" s="50"/>
      <c r="F53" s="50"/>
      <c r="G53" s="50">
        <f t="shared" si="6"/>
        <v>0</v>
      </c>
      <c r="H53" s="216" t="e">
        <f t="shared" si="7"/>
        <v>#DIV/0!</v>
      </c>
      <c r="I53" s="88"/>
    </row>
    <row r="54" spans="1:9" ht="24.75" customHeight="1">
      <c r="A54" s="84"/>
      <c r="B54" s="87" t="s">
        <v>321</v>
      </c>
      <c r="C54" s="71"/>
      <c r="D54" s="50">
        <v>0.6</v>
      </c>
      <c r="E54" s="50">
        <v>1</v>
      </c>
      <c r="F54" s="50">
        <v>1.6</v>
      </c>
      <c r="G54" s="50">
        <f t="shared" si="6"/>
        <v>0.60000000000000009</v>
      </c>
      <c r="H54" s="228">
        <f t="shared" si="7"/>
        <v>160</v>
      </c>
      <c r="I54" s="88"/>
    </row>
    <row r="55" spans="1:9" ht="24.75" customHeight="1">
      <c r="A55" s="84"/>
      <c r="B55" s="87" t="s">
        <v>322</v>
      </c>
      <c r="C55" s="71"/>
      <c r="D55" s="50">
        <v>11</v>
      </c>
      <c r="E55" s="50">
        <v>12</v>
      </c>
      <c r="F55" s="50">
        <v>12.6</v>
      </c>
      <c r="G55" s="50">
        <f t="shared" si="6"/>
        <v>0.59999999999999964</v>
      </c>
      <c r="H55" s="228">
        <f t="shared" si="7"/>
        <v>105</v>
      </c>
      <c r="I55" s="88"/>
    </row>
    <row r="56" spans="1:9" ht="24.75" customHeight="1">
      <c r="A56" s="84"/>
      <c r="B56" s="87" t="s">
        <v>323</v>
      </c>
      <c r="C56" s="71"/>
      <c r="D56" s="50">
        <v>2.8</v>
      </c>
      <c r="E56" s="50">
        <v>3</v>
      </c>
      <c r="F56" s="50">
        <v>9.4</v>
      </c>
      <c r="G56" s="50">
        <f t="shared" si="6"/>
        <v>6.4</v>
      </c>
      <c r="H56" s="228">
        <f t="shared" si="7"/>
        <v>313.33333333333331</v>
      </c>
      <c r="I56" s="88"/>
    </row>
    <row r="57" spans="1:9" ht="24.75" customHeight="1">
      <c r="A57" s="84"/>
      <c r="B57" s="87" t="s">
        <v>324</v>
      </c>
      <c r="C57" s="71"/>
      <c r="D57" s="50">
        <v>3.1</v>
      </c>
      <c r="E57" s="50"/>
      <c r="F57" s="50"/>
      <c r="G57" s="50">
        <f t="shared" si="6"/>
        <v>0</v>
      </c>
      <c r="H57" s="216" t="e">
        <f t="shared" si="7"/>
        <v>#DIV/0!</v>
      </c>
      <c r="I57" s="88"/>
    </row>
    <row r="58" spans="1:9" ht="24.75" customHeight="1">
      <c r="A58" s="84"/>
      <c r="B58" s="87" t="s">
        <v>325</v>
      </c>
      <c r="C58" s="71"/>
      <c r="D58" s="50">
        <v>8.8000000000000007</v>
      </c>
      <c r="E58" s="50">
        <v>10</v>
      </c>
      <c r="F58" s="50">
        <v>4.9000000000000004</v>
      </c>
      <c r="G58" s="50">
        <f t="shared" si="6"/>
        <v>-5.0999999999999996</v>
      </c>
      <c r="H58" s="228">
        <f t="shared" si="7"/>
        <v>49.000000000000007</v>
      </c>
      <c r="I58" s="88"/>
    </row>
    <row r="59" spans="1:9" ht="24.75" customHeight="1">
      <c r="A59" s="84"/>
      <c r="B59" s="87" t="s">
        <v>231</v>
      </c>
      <c r="C59" s="71"/>
      <c r="D59" s="50">
        <v>83</v>
      </c>
      <c r="E59" s="50">
        <v>100</v>
      </c>
      <c r="F59" s="50">
        <v>49.1</v>
      </c>
      <c r="G59" s="50">
        <f t="shared" si="6"/>
        <v>-50.9</v>
      </c>
      <c r="H59" s="228">
        <f t="shared" si="7"/>
        <v>49.1</v>
      </c>
      <c r="I59" s="88"/>
    </row>
    <row r="60" spans="1:9" ht="45" customHeight="1">
      <c r="A60" s="84"/>
      <c r="B60" s="85" t="s">
        <v>434</v>
      </c>
      <c r="C60" s="71"/>
      <c r="D60" s="50"/>
      <c r="E60" s="50">
        <v>102</v>
      </c>
      <c r="F60" s="50"/>
      <c r="G60" s="50">
        <f t="shared" si="6"/>
        <v>-102</v>
      </c>
      <c r="H60" s="228">
        <f t="shared" si="7"/>
        <v>0</v>
      </c>
      <c r="I60" s="88"/>
    </row>
    <row r="61" spans="1:9" ht="30.75" customHeight="1">
      <c r="A61" s="84"/>
      <c r="B61" s="85" t="s">
        <v>344</v>
      </c>
      <c r="C61" s="71"/>
      <c r="D61" s="50">
        <v>1.4</v>
      </c>
      <c r="E61" s="50"/>
      <c r="F61" s="50"/>
      <c r="G61" s="50">
        <f t="shared" si="6"/>
        <v>0</v>
      </c>
      <c r="H61" s="216" t="e">
        <f t="shared" si="7"/>
        <v>#DIV/0!</v>
      </c>
      <c r="I61" s="88"/>
    </row>
    <row r="62" spans="1:9" ht="24.75" customHeight="1">
      <c r="A62" s="84"/>
      <c r="B62" s="87" t="s">
        <v>345</v>
      </c>
      <c r="C62" s="71"/>
      <c r="D62" s="50">
        <v>9.6</v>
      </c>
      <c r="E62" s="50"/>
      <c r="F62" s="50"/>
      <c r="G62" s="50">
        <f t="shared" si="6"/>
        <v>0</v>
      </c>
      <c r="H62" s="216" t="e">
        <f t="shared" si="7"/>
        <v>#DIV/0!</v>
      </c>
      <c r="I62" s="88"/>
    </row>
    <row r="63" spans="1:9" ht="24.75" customHeight="1">
      <c r="A63" s="84"/>
      <c r="B63" s="87" t="s">
        <v>346</v>
      </c>
      <c r="C63" s="71"/>
      <c r="D63" s="50">
        <v>21</v>
      </c>
      <c r="E63" s="50"/>
      <c r="F63" s="50"/>
      <c r="G63" s="50">
        <f t="shared" si="6"/>
        <v>0</v>
      </c>
      <c r="H63" s="216" t="e">
        <f t="shared" si="7"/>
        <v>#DIV/0!</v>
      </c>
      <c r="I63" s="88"/>
    </row>
    <row r="64" spans="1:9" ht="24.75" customHeight="1">
      <c r="A64" s="84"/>
      <c r="B64" s="87" t="s">
        <v>347</v>
      </c>
      <c r="C64" s="71"/>
      <c r="D64" s="50">
        <v>2.9</v>
      </c>
      <c r="E64" s="50"/>
      <c r="F64" s="50"/>
      <c r="G64" s="50">
        <f t="shared" si="6"/>
        <v>0</v>
      </c>
      <c r="H64" s="216" t="e">
        <f t="shared" si="7"/>
        <v>#DIV/0!</v>
      </c>
      <c r="I64" s="88"/>
    </row>
    <row r="65" spans="1:9" ht="24.75" customHeight="1">
      <c r="A65" s="84"/>
      <c r="B65" s="87" t="s">
        <v>335</v>
      </c>
      <c r="C65" s="71"/>
      <c r="D65" s="50">
        <v>3.7</v>
      </c>
      <c r="E65" s="50">
        <v>3</v>
      </c>
      <c r="F65" s="50"/>
      <c r="G65" s="50">
        <f t="shared" si="6"/>
        <v>-3</v>
      </c>
      <c r="H65" s="228">
        <f t="shared" si="7"/>
        <v>0</v>
      </c>
      <c r="I65" s="88"/>
    </row>
    <row r="66" spans="1:9" ht="24.75" customHeight="1">
      <c r="A66" s="84"/>
      <c r="B66" s="87" t="s">
        <v>442</v>
      </c>
      <c r="C66" s="71"/>
      <c r="D66" s="50"/>
      <c r="E66" s="50"/>
      <c r="F66" s="50">
        <v>49</v>
      </c>
      <c r="G66" s="50">
        <f t="shared" si="6"/>
        <v>49</v>
      </c>
      <c r="H66" s="216" t="e">
        <f t="shared" si="7"/>
        <v>#DIV/0!</v>
      </c>
      <c r="I66" s="88"/>
    </row>
    <row r="67" spans="1:9" ht="24.75" customHeight="1">
      <c r="A67" s="84"/>
      <c r="B67" s="87" t="s">
        <v>444</v>
      </c>
      <c r="C67" s="71"/>
      <c r="D67" s="50"/>
      <c r="E67" s="50"/>
      <c r="F67" s="50">
        <v>4.4000000000000004</v>
      </c>
      <c r="G67" s="50">
        <f t="shared" si="6"/>
        <v>4.4000000000000004</v>
      </c>
      <c r="H67" s="216" t="e">
        <f t="shared" si="7"/>
        <v>#DIV/0!</v>
      </c>
      <c r="I67" s="88"/>
    </row>
    <row r="68" spans="1:9" ht="24.75" customHeight="1">
      <c r="A68" s="84"/>
      <c r="B68" s="87" t="s">
        <v>445</v>
      </c>
      <c r="C68" s="71"/>
      <c r="D68" s="50"/>
      <c r="E68" s="50"/>
      <c r="F68" s="50">
        <v>7.2</v>
      </c>
      <c r="G68" s="50">
        <f t="shared" si="6"/>
        <v>7.2</v>
      </c>
      <c r="H68" s="216" t="e">
        <f t="shared" si="7"/>
        <v>#DIV/0!</v>
      </c>
      <c r="I68" s="88"/>
    </row>
    <row r="69" spans="1:9" ht="24.75" customHeight="1">
      <c r="A69" s="84"/>
      <c r="B69" s="87" t="s">
        <v>443</v>
      </c>
      <c r="C69" s="71"/>
      <c r="D69" s="50"/>
      <c r="E69" s="50"/>
      <c r="F69" s="50">
        <v>32.299999999999997</v>
      </c>
      <c r="G69" s="50">
        <f t="shared" si="6"/>
        <v>32.299999999999997</v>
      </c>
      <c r="H69" s="216" t="e">
        <f t="shared" si="7"/>
        <v>#DIV/0!</v>
      </c>
      <c r="I69" s="88"/>
    </row>
    <row r="70" spans="1:9" ht="24.75" customHeight="1">
      <c r="A70" s="77" t="s">
        <v>124</v>
      </c>
      <c r="B70" s="91" t="s">
        <v>128</v>
      </c>
      <c r="C70" s="79">
        <v>1020</v>
      </c>
      <c r="D70" s="80">
        <f>D71+D75+D76+D77+D78</f>
        <v>3013.8999999999996</v>
      </c>
      <c r="E70" s="80">
        <f>E71+E75+E76+E78</f>
        <v>3805.9</v>
      </c>
      <c r="F70" s="80">
        <f>F71+F75+F76+F78+F77</f>
        <v>3726.9</v>
      </c>
      <c r="G70" s="80">
        <f t="shared" si="6"/>
        <v>-79</v>
      </c>
      <c r="H70" s="227">
        <f t="shared" si="7"/>
        <v>97.924275467038029</v>
      </c>
      <c r="I70" s="88"/>
    </row>
    <row r="71" spans="1:9" ht="24.75" customHeight="1">
      <c r="A71" s="81" t="s">
        <v>257</v>
      </c>
      <c r="B71" s="82" t="s">
        <v>188</v>
      </c>
      <c r="C71" s="83">
        <v>1021</v>
      </c>
      <c r="D71" s="47">
        <f>SUM(D72:D74)</f>
        <v>62.5</v>
      </c>
      <c r="E71" s="47">
        <f t="shared" ref="E71:F71" si="22">SUM(E72:E74)</f>
        <v>52.5</v>
      </c>
      <c r="F71" s="47">
        <f t="shared" si="22"/>
        <v>75.900000000000006</v>
      </c>
      <c r="G71" s="47">
        <f t="shared" si="6"/>
        <v>23.400000000000006</v>
      </c>
      <c r="H71" s="406">
        <f t="shared" si="7"/>
        <v>144.57142857142858</v>
      </c>
      <c r="I71" s="88"/>
    </row>
    <row r="72" spans="1:9" ht="24" customHeight="1">
      <c r="A72" s="84"/>
      <c r="B72" s="89" t="s">
        <v>223</v>
      </c>
      <c r="C72" s="71"/>
      <c r="D72" s="50">
        <v>32.700000000000003</v>
      </c>
      <c r="E72" s="50">
        <v>33</v>
      </c>
      <c r="F72" s="50">
        <v>38.6</v>
      </c>
      <c r="G72" s="50">
        <f t="shared" si="6"/>
        <v>5.6000000000000014</v>
      </c>
      <c r="H72" s="228">
        <f t="shared" si="7"/>
        <v>116.96969696969697</v>
      </c>
      <c r="I72" s="88"/>
    </row>
    <row r="73" spans="1:9" ht="24" customHeight="1">
      <c r="A73" s="84"/>
      <c r="B73" s="89" t="s">
        <v>197</v>
      </c>
      <c r="C73" s="71"/>
      <c r="D73" s="50"/>
      <c r="E73" s="50"/>
      <c r="F73" s="50">
        <v>2.5</v>
      </c>
      <c r="G73" s="50">
        <f t="shared" si="6"/>
        <v>2.5</v>
      </c>
      <c r="H73" s="216" t="e">
        <f t="shared" si="7"/>
        <v>#DIV/0!</v>
      </c>
      <c r="I73" s="88"/>
    </row>
    <row r="74" spans="1:9" s="36" customFormat="1" ht="24" customHeight="1">
      <c r="A74" s="84"/>
      <c r="B74" s="87" t="s">
        <v>195</v>
      </c>
      <c r="C74" s="71"/>
      <c r="D74" s="50">
        <v>29.8</v>
      </c>
      <c r="E74" s="50">
        <v>19.5</v>
      </c>
      <c r="F74" s="50">
        <v>34.799999999999997</v>
      </c>
      <c r="G74" s="50">
        <f t="shared" si="6"/>
        <v>15.299999999999997</v>
      </c>
      <c r="H74" s="228">
        <f t="shared" si="7"/>
        <v>178.46153846153845</v>
      </c>
      <c r="I74" s="88"/>
    </row>
    <row r="75" spans="1:9" s="36" customFormat="1" ht="25.5" customHeight="1">
      <c r="A75" s="81" t="s">
        <v>258</v>
      </c>
      <c r="B75" s="90" t="s">
        <v>2</v>
      </c>
      <c r="C75" s="83">
        <v>1022</v>
      </c>
      <c r="D75" s="47">
        <v>2362.6999999999998</v>
      </c>
      <c r="E75" s="47">
        <v>3004.1</v>
      </c>
      <c r="F75" s="47">
        <v>2952.6</v>
      </c>
      <c r="G75" s="47">
        <f t="shared" ref="G75:G130" si="23">F75-E75</f>
        <v>-51.5</v>
      </c>
      <c r="H75" s="406">
        <f t="shared" ref="H75:H130" si="24">(F75/E75)*100</f>
        <v>98.285676242468625</v>
      </c>
      <c r="I75" s="88"/>
    </row>
    <row r="76" spans="1:9" s="36" customFormat="1" ht="25.5" customHeight="1">
      <c r="A76" s="81" t="s">
        <v>259</v>
      </c>
      <c r="B76" s="90" t="s">
        <v>3</v>
      </c>
      <c r="C76" s="83">
        <v>1023</v>
      </c>
      <c r="D76" s="47">
        <v>509.1</v>
      </c>
      <c r="E76" s="47">
        <v>651.5</v>
      </c>
      <c r="F76" s="47">
        <v>626.9</v>
      </c>
      <c r="G76" s="47">
        <f t="shared" si="23"/>
        <v>-24.600000000000023</v>
      </c>
      <c r="H76" s="406">
        <f t="shared" si="24"/>
        <v>96.224098234842671</v>
      </c>
      <c r="I76" s="88"/>
    </row>
    <row r="77" spans="1:9" s="36" customFormat="1" ht="24.75" hidden="1" customHeight="1">
      <c r="A77" s="81" t="s">
        <v>260</v>
      </c>
      <c r="B77" s="90" t="s">
        <v>254</v>
      </c>
      <c r="C77" s="83">
        <v>1024</v>
      </c>
      <c r="D77" s="47"/>
      <c r="E77" s="47"/>
      <c r="F77" s="47"/>
      <c r="G77" s="47">
        <f t="shared" si="23"/>
        <v>0</v>
      </c>
      <c r="H77" s="228" t="e">
        <f t="shared" si="24"/>
        <v>#DIV/0!</v>
      </c>
      <c r="I77" s="88"/>
    </row>
    <row r="78" spans="1:9" s="36" customFormat="1" ht="27" customHeight="1">
      <c r="A78" s="81" t="s">
        <v>261</v>
      </c>
      <c r="B78" s="90" t="s">
        <v>262</v>
      </c>
      <c r="C78" s="83">
        <v>1025</v>
      </c>
      <c r="D78" s="47">
        <f>SUM(D79:D84)</f>
        <v>79.600000000000009</v>
      </c>
      <c r="E78" s="47">
        <f>SUM(E79:E82)</f>
        <v>97.8</v>
      </c>
      <c r="F78" s="47">
        <f>SUM(F79:F84)</f>
        <v>71.5</v>
      </c>
      <c r="G78" s="47">
        <f t="shared" si="23"/>
        <v>-26.299999999999997</v>
      </c>
      <c r="H78" s="406">
        <f t="shared" si="24"/>
        <v>73.108384458077708</v>
      </c>
      <c r="I78" s="88"/>
    </row>
    <row r="79" spans="1:9">
      <c r="A79" s="84"/>
      <c r="B79" s="87" t="s">
        <v>232</v>
      </c>
      <c r="C79" s="71"/>
      <c r="D79" s="50">
        <v>18.3</v>
      </c>
      <c r="E79" s="50">
        <v>19</v>
      </c>
      <c r="F79" s="50">
        <v>30.5</v>
      </c>
      <c r="G79" s="50">
        <f t="shared" si="23"/>
        <v>11.5</v>
      </c>
      <c r="H79" s="228">
        <f t="shared" si="24"/>
        <v>160.5263157894737</v>
      </c>
      <c r="I79" s="88"/>
    </row>
    <row r="80" spans="1:9" ht="24.75" customHeight="1">
      <c r="A80" s="84"/>
      <c r="B80" s="87" t="s">
        <v>314</v>
      </c>
      <c r="C80" s="71"/>
      <c r="D80" s="50">
        <v>16.8</v>
      </c>
      <c r="E80" s="50">
        <v>33.799999999999997</v>
      </c>
      <c r="F80" s="50"/>
      <c r="G80" s="50">
        <f t="shared" si="23"/>
        <v>-33.799999999999997</v>
      </c>
      <c r="H80" s="228">
        <f t="shared" si="24"/>
        <v>0</v>
      </c>
      <c r="I80" s="88"/>
    </row>
    <row r="81" spans="1:9">
      <c r="A81" s="84"/>
      <c r="B81" s="87" t="s">
        <v>224</v>
      </c>
      <c r="C81" s="71"/>
      <c r="D81" s="50">
        <v>5</v>
      </c>
      <c r="E81" s="50">
        <v>5</v>
      </c>
      <c r="F81" s="50"/>
      <c r="G81" s="50">
        <f t="shared" si="23"/>
        <v>-5</v>
      </c>
      <c r="H81" s="228">
        <f t="shared" si="24"/>
        <v>0</v>
      </c>
      <c r="I81" s="88"/>
    </row>
    <row r="82" spans="1:9">
      <c r="A82" s="84"/>
      <c r="B82" s="89" t="s">
        <v>225</v>
      </c>
      <c r="C82" s="71"/>
      <c r="D82" s="50">
        <v>33.299999999999997</v>
      </c>
      <c r="E82" s="50">
        <v>40</v>
      </c>
      <c r="F82" s="50">
        <v>41</v>
      </c>
      <c r="G82" s="50">
        <f t="shared" si="23"/>
        <v>1</v>
      </c>
      <c r="H82" s="228">
        <f t="shared" si="24"/>
        <v>102.49999999999999</v>
      </c>
      <c r="I82" s="88"/>
    </row>
    <row r="83" spans="1:9">
      <c r="A83" s="84"/>
      <c r="B83" s="89" t="s">
        <v>326</v>
      </c>
      <c r="C83" s="71"/>
      <c r="D83" s="50">
        <v>0.7</v>
      </c>
      <c r="E83" s="50"/>
      <c r="F83" s="50"/>
      <c r="G83" s="50">
        <f t="shared" si="23"/>
        <v>0</v>
      </c>
      <c r="H83" s="216" t="e">
        <f t="shared" si="24"/>
        <v>#DIV/0!</v>
      </c>
      <c r="I83" s="88"/>
    </row>
    <row r="84" spans="1:9">
      <c r="A84" s="84"/>
      <c r="B84" s="89" t="s">
        <v>407</v>
      </c>
      <c r="C84" s="71"/>
      <c r="D84" s="50">
        <v>5.5</v>
      </c>
      <c r="E84" s="50"/>
      <c r="F84" s="50"/>
      <c r="G84" s="50">
        <f t="shared" si="23"/>
        <v>0</v>
      </c>
      <c r="H84" s="216" t="e">
        <f t="shared" si="24"/>
        <v>#DIV/0!</v>
      </c>
      <c r="I84" s="88"/>
    </row>
    <row r="85" spans="1:9" ht="19.5">
      <c r="A85" s="77" t="s">
        <v>127</v>
      </c>
      <c r="B85" s="92" t="s">
        <v>129</v>
      </c>
      <c r="C85" s="79">
        <v>1030</v>
      </c>
      <c r="D85" s="80">
        <f>D86+D87+D88</f>
        <v>9083.4</v>
      </c>
      <c r="E85" s="80">
        <f>E86+E87+E88</f>
        <v>12227.6</v>
      </c>
      <c r="F85" s="80">
        <f>SUM(F86:F88)</f>
        <v>9999.2000000000007</v>
      </c>
      <c r="G85" s="80">
        <f t="shared" si="23"/>
        <v>-2228.3999999999996</v>
      </c>
      <c r="H85" s="227">
        <f t="shared" si="24"/>
        <v>81.775655075403193</v>
      </c>
      <c r="I85" s="88"/>
    </row>
    <row r="86" spans="1:9">
      <c r="A86" s="81" t="s">
        <v>263</v>
      </c>
      <c r="B86" s="90" t="s">
        <v>2</v>
      </c>
      <c r="C86" s="83">
        <v>1032</v>
      </c>
      <c r="D86" s="47">
        <v>7415.6</v>
      </c>
      <c r="E86" s="47">
        <v>9845.2999999999993</v>
      </c>
      <c r="F86" s="47">
        <v>8136.3</v>
      </c>
      <c r="G86" s="47">
        <f t="shared" si="23"/>
        <v>-1708.9999999999991</v>
      </c>
      <c r="H86" s="406">
        <f t="shared" si="24"/>
        <v>82.641463439407644</v>
      </c>
      <c r="I86" s="88"/>
    </row>
    <row r="87" spans="1:9">
      <c r="A87" s="81" t="s">
        <v>264</v>
      </c>
      <c r="B87" s="90" t="s">
        <v>3</v>
      </c>
      <c r="C87" s="83">
        <v>1033</v>
      </c>
      <c r="D87" s="47">
        <v>1600.4</v>
      </c>
      <c r="E87" s="47">
        <v>2135.1</v>
      </c>
      <c r="F87" s="47">
        <v>1730.4</v>
      </c>
      <c r="G87" s="47">
        <f t="shared" si="23"/>
        <v>-404.69999999999982</v>
      </c>
      <c r="H87" s="406">
        <f t="shared" si="24"/>
        <v>81.045384291133914</v>
      </c>
      <c r="I87" s="88"/>
    </row>
    <row r="88" spans="1:9">
      <c r="A88" s="81" t="s">
        <v>265</v>
      </c>
      <c r="B88" s="93" t="s">
        <v>129</v>
      </c>
      <c r="C88" s="83">
        <v>1035</v>
      </c>
      <c r="D88" s="47">
        <f>SUM(D89:D105)</f>
        <v>67.400000000000006</v>
      </c>
      <c r="E88" s="47">
        <f>SUM(E89:E105)</f>
        <v>247.2</v>
      </c>
      <c r="F88" s="47">
        <f>SUM(F89:F105)</f>
        <v>132.49999999999997</v>
      </c>
      <c r="G88" s="47">
        <f t="shared" si="23"/>
        <v>-114.70000000000002</v>
      </c>
      <c r="H88" s="406">
        <f t="shared" si="24"/>
        <v>53.600323624595461</v>
      </c>
      <c r="I88" s="88"/>
    </row>
    <row r="89" spans="1:9">
      <c r="A89" s="84"/>
      <c r="B89" s="89" t="s">
        <v>341</v>
      </c>
      <c r="C89" s="71"/>
      <c r="D89" s="50">
        <v>18.8</v>
      </c>
      <c r="E89" s="50">
        <v>21.6</v>
      </c>
      <c r="F89" s="50">
        <v>24.6</v>
      </c>
      <c r="G89" s="50">
        <f t="shared" si="23"/>
        <v>3</v>
      </c>
      <c r="H89" s="228">
        <f t="shared" si="24"/>
        <v>113.88888888888889</v>
      </c>
      <c r="I89" s="88"/>
    </row>
    <row r="90" spans="1:9">
      <c r="A90" s="84"/>
      <c r="B90" s="89" t="s">
        <v>240</v>
      </c>
      <c r="C90" s="71"/>
      <c r="D90" s="50">
        <v>14.8</v>
      </c>
      <c r="E90" s="50">
        <v>8</v>
      </c>
      <c r="F90" s="50">
        <v>18.399999999999999</v>
      </c>
      <c r="G90" s="50">
        <f t="shared" si="23"/>
        <v>10.399999999999999</v>
      </c>
      <c r="H90" s="228">
        <f t="shared" si="24"/>
        <v>229.99999999999997</v>
      </c>
      <c r="I90" s="88"/>
    </row>
    <row r="91" spans="1:9">
      <c r="A91" s="84"/>
      <c r="B91" s="89" t="s">
        <v>446</v>
      </c>
      <c r="C91" s="71"/>
      <c r="D91" s="50"/>
      <c r="E91" s="50"/>
      <c r="F91" s="50">
        <v>6.9</v>
      </c>
      <c r="G91" s="50">
        <f t="shared" si="23"/>
        <v>6.9</v>
      </c>
      <c r="H91" s="216" t="e">
        <f t="shared" si="24"/>
        <v>#DIV/0!</v>
      </c>
      <c r="I91" s="88"/>
    </row>
    <row r="92" spans="1:9">
      <c r="A92" s="84"/>
      <c r="B92" s="89" t="s">
        <v>348</v>
      </c>
      <c r="C92" s="71"/>
      <c r="D92" s="50">
        <v>2.8</v>
      </c>
      <c r="E92" s="50">
        <v>5</v>
      </c>
      <c r="F92" s="50"/>
      <c r="G92" s="50">
        <f t="shared" si="23"/>
        <v>-5</v>
      </c>
      <c r="H92" s="228">
        <f t="shared" si="24"/>
        <v>0</v>
      </c>
      <c r="I92" s="88"/>
    </row>
    <row r="93" spans="1:9">
      <c r="A93" s="84"/>
      <c r="B93" s="89" t="s">
        <v>349</v>
      </c>
      <c r="C93" s="71"/>
      <c r="D93" s="50">
        <v>1.7</v>
      </c>
      <c r="E93" s="50">
        <v>2</v>
      </c>
      <c r="F93" s="50"/>
      <c r="G93" s="50">
        <f t="shared" si="23"/>
        <v>-2</v>
      </c>
      <c r="H93" s="228">
        <f t="shared" si="24"/>
        <v>0</v>
      </c>
      <c r="I93" s="88"/>
    </row>
    <row r="94" spans="1:9">
      <c r="A94" s="84"/>
      <c r="B94" s="89" t="s">
        <v>241</v>
      </c>
      <c r="C94" s="71"/>
      <c r="D94" s="50">
        <v>2.7</v>
      </c>
      <c r="E94" s="50">
        <v>3.6</v>
      </c>
      <c r="F94" s="50">
        <v>3.2</v>
      </c>
      <c r="G94" s="50">
        <f t="shared" si="23"/>
        <v>-0.39999999999999991</v>
      </c>
      <c r="H94" s="228">
        <f t="shared" si="24"/>
        <v>88.8888888888889</v>
      </c>
      <c r="I94" s="88"/>
    </row>
    <row r="95" spans="1:9">
      <c r="A95" s="84"/>
      <c r="B95" s="89" t="s">
        <v>242</v>
      </c>
      <c r="C95" s="71"/>
      <c r="D95" s="50">
        <v>0.4</v>
      </c>
      <c r="E95" s="50"/>
      <c r="F95" s="50"/>
      <c r="G95" s="50">
        <f t="shared" si="23"/>
        <v>0</v>
      </c>
      <c r="H95" s="216" t="e">
        <f t="shared" si="24"/>
        <v>#DIV/0!</v>
      </c>
      <c r="I95" s="88"/>
    </row>
    <row r="96" spans="1:9">
      <c r="A96" s="84"/>
      <c r="B96" s="87" t="s">
        <v>266</v>
      </c>
      <c r="C96" s="71"/>
      <c r="D96" s="50"/>
      <c r="E96" s="50">
        <v>100</v>
      </c>
      <c r="F96" s="50"/>
      <c r="G96" s="50">
        <f t="shared" si="23"/>
        <v>-100</v>
      </c>
      <c r="H96" s="228">
        <f t="shared" si="24"/>
        <v>0</v>
      </c>
      <c r="I96" s="88"/>
    </row>
    <row r="97" spans="1:11">
      <c r="A97" s="84"/>
      <c r="B97" s="89" t="s">
        <v>448</v>
      </c>
      <c r="C97" s="71"/>
      <c r="D97" s="50"/>
      <c r="E97" s="50"/>
      <c r="F97" s="50">
        <v>16.399999999999999</v>
      </c>
      <c r="G97" s="50">
        <f t="shared" si="23"/>
        <v>16.399999999999999</v>
      </c>
      <c r="H97" s="216" t="e">
        <f t="shared" si="24"/>
        <v>#DIV/0!</v>
      </c>
      <c r="I97" s="88"/>
    </row>
    <row r="98" spans="1:11">
      <c r="A98" s="84"/>
      <c r="B98" s="89" t="s">
        <v>447</v>
      </c>
      <c r="C98" s="71"/>
      <c r="D98" s="50"/>
      <c r="E98" s="50"/>
      <c r="F98" s="50">
        <v>46.7</v>
      </c>
      <c r="G98" s="50">
        <f t="shared" si="23"/>
        <v>46.7</v>
      </c>
      <c r="H98" s="216" t="e">
        <f t="shared" si="24"/>
        <v>#DIV/0!</v>
      </c>
      <c r="I98" s="88"/>
    </row>
    <row r="99" spans="1:11">
      <c r="A99" s="84"/>
      <c r="B99" s="89" t="s">
        <v>244</v>
      </c>
      <c r="C99" s="71"/>
      <c r="D99" s="50"/>
      <c r="E99" s="50">
        <v>19</v>
      </c>
      <c r="F99" s="50"/>
      <c r="G99" s="50">
        <f t="shared" si="23"/>
        <v>-19</v>
      </c>
      <c r="H99" s="228">
        <f t="shared" si="24"/>
        <v>0</v>
      </c>
      <c r="I99" s="88"/>
    </row>
    <row r="100" spans="1:11">
      <c r="A100" s="84"/>
      <c r="B100" s="89" t="s">
        <v>245</v>
      </c>
      <c r="C100" s="71"/>
      <c r="D100" s="50">
        <v>1</v>
      </c>
      <c r="E100" s="50">
        <v>22</v>
      </c>
      <c r="F100" s="50">
        <v>6.5</v>
      </c>
      <c r="G100" s="50">
        <f t="shared" si="23"/>
        <v>-15.5</v>
      </c>
      <c r="H100" s="228">
        <f t="shared" si="24"/>
        <v>29.545454545454547</v>
      </c>
      <c r="I100" s="88"/>
    </row>
    <row r="101" spans="1:11">
      <c r="A101" s="84"/>
      <c r="B101" s="89" t="s">
        <v>246</v>
      </c>
      <c r="C101" s="71"/>
      <c r="D101" s="50">
        <v>23</v>
      </c>
      <c r="E101" s="50">
        <v>6</v>
      </c>
      <c r="F101" s="50">
        <v>7.5</v>
      </c>
      <c r="G101" s="50">
        <f t="shared" si="23"/>
        <v>1.5</v>
      </c>
      <c r="H101" s="228">
        <f t="shared" si="24"/>
        <v>125</v>
      </c>
      <c r="I101" s="88"/>
    </row>
    <row r="102" spans="1:11">
      <c r="A102" s="84"/>
      <c r="B102" s="89" t="s">
        <v>247</v>
      </c>
      <c r="C102" s="71"/>
      <c r="D102" s="50"/>
      <c r="E102" s="50">
        <v>35</v>
      </c>
      <c r="F102" s="50"/>
      <c r="G102" s="50">
        <f t="shared" si="23"/>
        <v>-35</v>
      </c>
      <c r="H102" s="228">
        <f t="shared" si="24"/>
        <v>0</v>
      </c>
      <c r="I102" s="88"/>
    </row>
    <row r="103" spans="1:11">
      <c r="A103" s="84"/>
      <c r="B103" s="89" t="s">
        <v>248</v>
      </c>
      <c r="C103" s="71"/>
      <c r="D103" s="50"/>
      <c r="E103" s="50">
        <v>20</v>
      </c>
      <c r="F103" s="50"/>
      <c r="G103" s="50">
        <f t="shared" si="23"/>
        <v>-20</v>
      </c>
      <c r="H103" s="228">
        <f t="shared" si="24"/>
        <v>0</v>
      </c>
      <c r="I103" s="88"/>
    </row>
    <row r="104" spans="1:11">
      <c r="A104" s="84"/>
      <c r="B104" s="87" t="s">
        <v>233</v>
      </c>
      <c r="C104" s="71"/>
      <c r="D104" s="50"/>
      <c r="E104" s="50">
        <v>2</v>
      </c>
      <c r="F104" s="50">
        <v>0.7</v>
      </c>
      <c r="G104" s="50">
        <f t="shared" si="23"/>
        <v>-1.3</v>
      </c>
      <c r="H104" s="228">
        <f t="shared" si="24"/>
        <v>35</v>
      </c>
      <c r="I104" s="88"/>
    </row>
    <row r="105" spans="1:11">
      <c r="A105" s="84"/>
      <c r="B105" s="87" t="s">
        <v>327</v>
      </c>
      <c r="C105" s="71"/>
      <c r="D105" s="50">
        <v>2.2000000000000002</v>
      </c>
      <c r="E105" s="50">
        <v>3</v>
      </c>
      <c r="F105" s="50">
        <v>1.6</v>
      </c>
      <c r="G105" s="47">
        <f t="shared" si="23"/>
        <v>-1.4</v>
      </c>
      <c r="H105" s="228">
        <f t="shared" si="24"/>
        <v>53.333333333333336</v>
      </c>
      <c r="I105" s="88"/>
    </row>
    <row r="106" spans="1:11" ht="27.75" customHeight="1">
      <c r="A106" s="448" t="s">
        <v>130</v>
      </c>
      <c r="B106" s="449" t="s">
        <v>267</v>
      </c>
      <c r="C106" s="445"/>
      <c r="D106" s="346">
        <f>SUM(D108,D122,)</f>
        <v>5257.9</v>
      </c>
      <c r="E106" s="346">
        <f t="shared" ref="E106:F106" si="25">SUM(E108,E122,)</f>
        <v>5538.8</v>
      </c>
      <c r="F106" s="346">
        <f t="shared" si="25"/>
        <v>4564.2999999999993</v>
      </c>
      <c r="G106" s="346">
        <f t="shared" si="23"/>
        <v>-974.50000000000091</v>
      </c>
      <c r="H106" s="442">
        <f t="shared" si="24"/>
        <v>82.405936303892531</v>
      </c>
      <c r="I106" s="88"/>
      <c r="J106" s="217"/>
      <c r="K106" s="217"/>
    </row>
    <row r="107" spans="1:11">
      <c r="A107" s="75"/>
      <c r="B107" s="432" t="s">
        <v>122</v>
      </c>
      <c r="C107" s="71"/>
      <c r="D107" s="50"/>
      <c r="E107" s="228"/>
      <c r="F107" s="50"/>
      <c r="G107" s="47"/>
      <c r="H107" s="228"/>
      <c r="I107" s="88"/>
    </row>
    <row r="108" spans="1:11" ht="19.5">
      <c r="A108" s="77" t="s">
        <v>131</v>
      </c>
      <c r="B108" s="78" t="s">
        <v>126</v>
      </c>
      <c r="C108" s="79">
        <v>1010</v>
      </c>
      <c r="D108" s="80">
        <f>D109+D118</f>
        <v>2380.8000000000002</v>
      </c>
      <c r="E108" s="227">
        <f>E109+E118</f>
        <v>2847.7000000000003</v>
      </c>
      <c r="F108" s="80">
        <f>F109+F118</f>
        <v>2498.1</v>
      </c>
      <c r="G108" s="80">
        <f t="shared" si="23"/>
        <v>-349.60000000000036</v>
      </c>
      <c r="H108" s="227">
        <f t="shared" si="24"/>
        <v>87.723425922674423</v>
      </c>
      <c r="I108" s="88"/>
    </row>
    <row r="109" spans="1:11">
      <c r="A109" s="81" t="s">
        <v>268</v>
      </c>
      <c r="B109" s="82" t="s">
        <v>188</v>
      </c>
      <c r="C109" s="83">
        <v>1011</v>
      </c>
      <c r="D109" s="47">
        <f>SUM(D110:D117)</f>
        <v>2198.3000000000002</v>
      </c>
      <c r="E109" s="47">
        <f t="shared" ref="E109:F109" si="26">SUM(E110:E117)</f>
        <v>2747.3</v>
      </c>
      <c r="F109" s="47">
        <f t="shared" si="26"/>
        <v>2461.6999999999998</v>
      </c>
      <c r="G109" s="47">
        <f t="shared" si="23"/>
        <v>-285.60000000000036</v>
      </c>
      <c r="H109" s="406">
        <f t="shared" si="24"/>
        <v>89.604338805372535</v>
      </c>
      <c r="I109" s="88"/>
    </row>
    <row r="110" spans="1:11">
      <c r="A110" s="81"/>
      <c r="B110" s="89" t="s">
        <v>230</v>
      </c>
      <c r="C110" s="83"/>
      <c r="D110" s="50">
        <v>1008.8</v>
      </c>
      <c r="E110" s="228">
        <v>1609.5</v>
      </c>
      <c r="F110" s="50">
        <v>1196.5</v>
      </c>
      <c r="G110" s="50">
        <f t="shared" si="23"/>
        <v>-413</v>
      </c>
      <c r="H110" s="228">
        <f t="shared" si="24"/>
        <v>74.339857098477793</v>
      </c>
      <c r="I110" s="88"/>
    </row>
    <row r="111" spans="1:11">
      <c r="A111" s="81"/>
      <c r="B111" s="89" t="s">
        <v>201</v>
      </c>
      <c r="C111" s="83"/>
      <c r="D111" s="50">
        <v>30.6</v>
      </c>
      <c r="E111" s="228">
        <v>35.1</v>
      </c>
      <c r="F111" s="50">
        <v>29</v>
      </c>
      <c r="G111" s="50">
        <f t="shared" si="23"/>
        <v>-6.1000000000000014</v>
      </c>
      <c r="H111" s="228">
        <f t="shared" si="24"/>
        <v>82.621082621082621</v>
      </c>
      <c r="I111" s="88"/>
    </row>
    <row r="112" spans="1:11">
      <c r="A112" s="81"/>
      <c r="B112" s="89" t="s">
        <v>202</v>
      </c>
      <c r="C112" s="83"/>
      <c r="D112" s="50">
        <v>597.70000000000005</v>
      </c>
      <c r="E112" s="228">
        <v>750.5</v>
      </c>
      <c r="F112" s="50">
        <v>923.9</v>
      </c>
      <c r="G112" s="50">
        <f t="shared" si="23"/>
        <v>173.39999999999998</v>
      </c>
      <c r="H112" s="228">
        <f t="shared" si="24"/>
        <v>123.10459693537641</v>
      </c>
      <c r="I112" s="88"/>
    </row>
    <row r="113" spans="1:9">
      <c r="A113" s="81"/>
      <c r="B113" s="89" t="s">
        <v>203</v>
      </c>
      <c r="C113" s="83"/>
      <c r="D113" s="50">
        <v>144.80000000000001</v>
      </c>
      <c r="E113" s="228">
        <v>229.3</v>
      </c>
      <c r="F113" s="50">
        <v>282.60000000000002</v>
      </c>
      <c r="G113" s="50">
        <f t="shared" si="23"/>
        <v>53.300000000000011</v>
      </c>
      <c r="H113" s="228">
        <f t="shared" si="24"/>
        <v>123.24465765372874</v>
      </c>
      <c r="I113" s="88"/>
    </row>
    <row r="114" spans="1:9">
      <c r="A114" s="75"/>
      <c r="B114" s="89" t="s">
        <v>204</v>
      </c>
      <c r="C114" s="71"/>
      <c r="D114" s="50">
        <v>17.399999999999999</v>
      </c>
      <c r="E114" s="228">
        <v>18.100000000000001</v>
      </c>
      <c r="F114" s="50">
        <v>29.7</v>
      </c>
      <c r="G114" s="50">
        <f t="shared" si="23"/>
        <v>11.599999999999998</v>
      </c>
      <c r="H114" s="228">
        <f t="shared" si="24"/>
        <v>164.08839779005524</v>
      </c>
      <c r="I114" s="88"/>
    </row>
    <row r="115" spans="1:9">
      <c r="A115" s="75"/>
      <c r="B115" s="85" t="s">
        <v>190</v>
      </c>
      <c r="C115" s="71"/>
      <c r="D115" s="50">
        <v>351.1</v>
      </c>
      <c r="E115" s="228"/>
      <c r="F115" s="50"/>
      <c r="G115" s="50">
        <f t="shared" si="23"/>
        <v>0</v>
      </c>
      <c r="H115" s="216" t="e">
        <f t="shared" si="24"/>
        <v>#DIV/0!</v>
      </c>
      <c r="I115" s="88"/>
    </row>
    <row r="116" spans="1:9">
      <c r="A116" s="75"/>
      <c r="B116" s="89" t="s">
        <v>199</v>
      </c>
      <c r="C116" s="71"/>
      <c r="D116" s="50">
        <v>46.9</v>
      </c>
      <c r="E116" s="228"/>
      <c r="F116" s="50"/>
      <c r="G116" s="50">
        <f t="shared" si="23"/>
        <v>0</v>
      </c>
      <c r="H116" s="216" t="e">
        <f t="shared" si="24"/>
        <v>#DIV/0!</v>
      </c>
      <c r="I116" s="88"/>
    </row>
    <row r="117" spans="1:9">
      <c r="A117" s="75"/>
      <c r="B117" s="89" t="s">
        <v>205</v>
      </c>
      <c r="C117" s="71"/>
      <c r="D117" s="50">
        <v>1</v>
      </c>
      <c r="E117" s="228">
        <v>104.8</v>
      </c>
      <c r="F117" s="50"/>
      <c r="G117" s="50">
        <f t="shared" si="23"/>
        <v>-104.8</v>
      </c>
      <c r="H117" s="228">
        <f t="shared" si="24"/>
        <v>0</v>
      </c>
      <c r="I117" s="88"/>
    </row>
    <row r="118" spans="1:9">
      <c r="A118" s="81" t="s">
        <v>255</v>
      </c>
      <c r="B118" s="90" t="s">
        <v>339</v>
      </c>
      <c r="C118" s="83">
        <v>1015</v>
      </c>
      <c r="D118" s="47">
        <f>D119+D120</f>
        <v>182.5</v>
      </c>
      <c r="E118" s="406">
        <v>100.4</v>
      </c>
      <c r="F118" s="47">
        <f>F119+F120+F121</f>
        <v>36.4</v>
      </c>
      <c r="G118" s="47">
        <f t="shared" si="23"/>
        <v>-64</v>
      </c>
      <c r="H118" s="406">
        <f t="shared" si="24"/>
        <v>36.254980079681268</v>
      </c>
      <c r="I118" s="88"/>
    </row>
    <row r="119" spans="1:9">
      <c r="A119" s="81"/>
      <c r="B119" s="87" t="s">
        <v>328</v>
      </c>
      <c r="C119" s="83"/>
      <c r="D119" s="50">
        <v>98</v>
      </c>
      <c r="E119" s="228"/>
      <c r="F119" s="50"/>
      <c r="G119" s="50">
        <f t="shared" si="23"/>
        <v>0</v>
      </c>
      <c r="H119" s="377" t="e">
        <f t="shared" si="24"/>
        <v>#DIV/0!</v>
      </c>
      <c r="I119" s="88"/>
    </row>
    <row r="120" spans="1:9">
      <c r="A120" s="81"/>
      <c r="B120" s="89" t="s">
        <v>212</v>
      </c>
      <c r="C120" s="83"/>
      <c r="D120" s="50">
        <v>84.5</v>
      </c>
      <c r="E120" s="228">
        <v>100.4</v>
      </c>
      <c r="F120" s="50">
        <v>36.4</v>
      </c>
      <c r="G120" s="50">
        <f t="shared" si="23"/>
        <v>-64</v>
      </c>
      <c r="H120" s="406">
        <f t="shared" si="24"/>
        <v>36.254980079681268</v>
      </c>
      <c r="I120" s="88"/>
    </row>
    <row r="121" spans="1:9" hidden="1">
      <c r="A121" s="81"/>
      <c r="B121" s="89" t="s">
        <v>242</v>
      </c>
      <c r="C121" s="83"/>
      <c r="D121" s="50"/>
      <c r="E121" s="228"/>
      <c r="F121" s="50"/>
      <c r="G121" s="50">
        <f t="shared" si="23"/>
        <v>0</v>
      </c>
      <c r="H121" s="406" t="e">
        <f t="shared" si="24"/>
        <v>#DIV/0!</v>
      </c>
      <c r="I121" s="88" t="s">
        <v>329</v>
      </c>
    </row>
    <row r="122" spans="1:9" ht="19.5">
      <c r="A122" s="77" t="s">
        <v>132</v>
      </c>
      <c r="B122" s="92" t="s">
        <v>129</v>
      </c>
      <c r="C122" s="79">
        <v>1030</v>
      </c>
      <c r="D122" s="80">
        <f>D128+D123</f>
        <v>2877.1</v>
      </c>
      <c r="E122" s="227">
        <f>E128+E123</f>
        <v>2691.1</v>
      </c>
      <c r="F122" s="80">
        <f>F128+F123</f>
        <v>2066.1999999999998</v>
      </c>
      <c r="G122" s="80">
        <f t="shared" si="23"/>
        <v>-624.90000000000009</v>
      </c>
      <c r="H122" s="227">
        <f t="shared" si="24"/>
        <v>76.779012299803057</v>
      </c>
      <c r="I122" s="88"/>
    </row>
    <row r="123" spans="1:9">
      <c r="A123" s="81" t="s">
        <v>315</v>
      </c>
      <c r="B123" s="82" t="s">
        <v>188</v>
      </c>
      <c r="C123" s="83">
        <v>1031</v>
      </c>
      <c r="D123" s="47">
        <f>SUM(D124:D127)</f>
        <v>1153.7</v>
      </c>
      <c r="E123" s="406">
        <f t="shared" ref="E123:F123" si="27">SUM(E124:E127)</f>
        <v>1109.0999999999999</v>
      </c>
      <c r="F123" s="47">
        <f t="shared" si="27"/>
        <v>535.29999999999995</v>
      </c>
      <c r="G123" s="47">
        <f t="shared" si="23"/>
        <v>-573.79999999999995</v>
      </c>
      <c r="H123" s="406">
        <f t="shared" si="24"/>
        <v>48.264358488864843</v>
      </c>
      <c r="I123" s="88"/>
    </row>
    <row r="124" spans="1:9">
      <c r="A124" s="84"/>
      <c r="B124" s="89" t="s">
        <v>333</v>
      </c>
      <c r="C124" s="83"/>
      <c r="D124" s="50">
        <v>13.7</v>
      </c>
      <c r="E124" s="406"/>
      <c r="F124" s="50"/>
      <c r="G124" s="50">
        <f t="shared" si="23"/>
        <v>0</v>
      </c>
      <c r="H124" s="377" t="e">
        <f t="shared" si="24"/>
        <v>#DIV/0!</v>
      </c>
      <c r="I124" s="88"/>
    </row>
    <row r="125" spans="1:9" ht="37.5">
      <c r="A125" s="84"/>
      <c r="B125" s="89" t="s">
        <v>234</v>
      </c>
      <c r="C125" s="83"/>
      <c r="D125" s="50">
        <v>670.4</v>
      </c>
      <c r="E125" s="228">
        <v>800</v>
      </c>
      <c r="F125" s="50">
        <v>220.3</v>
      </c>
      <c r="G125" s="50">
        <f t="shared" si="23"/>
        <v>-579.70000000000005</v>
      </c>
      <c r="H125" s="228">
        <f t="shared" si="24"/>
        <v>27.537500000000005</v>
      </c>
      <c r="I125" s="88"/>
    </row>
    <row r="126" spans="1:9">
      <c r="A126" s="84"/>
      <c r="B126" s="89" t="s">
        <v>235</v>
      </c>
      <c r="C126" s="83"/>
      <c r="D126" s="50">
        <v>363.3</v>
      </c>
      <c r="E126" s="228">
        <v>309.10000000000002</v>
      </c>
      <c r="F126" s="50">
        <v>176.6</v>
      </c>
      <c r="G126" s="50">
        <f t="shared" si="23"/>
        <v>-132.50000000000003</v>
      </c>
      <c r="H126" s="228">
        <f t="shared" si="24"/>
        <v>57.133613717243605</v>
      </c>
      <c r="I126" s="88"/>
    </row>
    <row r="127" spans="1:9">
      <c r="A127" s="84"/>
      <c r="B127" s="89" t="s">
        <v>389</v>
      </c>
      <c r="C127" s="83"/>
      <c r="D127" s="50">
        <v>106.3</v>
      </c>
      <c r="E127" s="406"/>
      <c r="F127" s="50">
        <v>138.4</v>
      </c>
      <c r="G127" s="50">
        <f t="shared" si="23"/>
        <v>138.4</v>
      </c>
      <c r="H127" s="216" t="e">
        <f t="shared" si="24"/>
        <v>#DIV/0!</v>
      </c>
      <c r="I127" s="88"/>
    </row>
    <row r="128" spans="1:9" ht="23.25" customHeight="1">
      <c r="A128" s="81" t="s">
        <v>269</v>
      </c>
      <c r="B128" s="90" t="s">
        <v>129</v>
      </c>
      <c r="C128" s="83">
        <v>1035</v>
      </c>
      <c r="D128" s="47">
        <f>SUM(D129:D133)</f>
        <v>1723.3999999999999</v>
      </c>
      <c r="E128" s="47">
        <f>SUM(E129:E133)</f>
        <v>1582</v>
      </c>
      <c r="F128" s="47">
        <f>SUM(F129:F133)</f>
        <v>1530.9</v>
      </c>
      <c r="G128" s="47">
        <f t="shared" si="23"/>
        <v>-51.099999999999909</v>
      </c>
      <c r="H128" s="406">
        <f t="shared" si="24"/>
        <v>96.769911504424783</v>
      </c>
      <c r="I128" s="443">
        <f>SUM(I129:I133)</f>
        <v>0</v>
      </c>
    </row>
    <row r="129" spans="1:10">
      <c r="A129" s="75"/>
      <c r="B129" s="89" t="s">
        <v>243</v>
      </c>
      <c r="C129" s="71"/>
      <c r="D129" s="50">
        <v>45</v>
      </c>
      <c r="E129" s="228">
        <v>46.2</v>
      </c>
      <c r="F129" s="50">
        <v>7.7</v>
      </c>
      <c r="G129" s="47">
        <f t="shared" si="23"/>
        <v>-38.5</v>
      </c>
      <c r="H129" s="228">
        <f t="shared" si="24"/>
        <v>16.666666666666664</v>
      </c>
      <c r="I129" s="88"/>
    </row>
    <row r="130" spans="1:10">
      <c r="A130" s="75"/>
      <c r="B130" s="89" t="s">
        <v>310</v>
      </c>
      <c r="C130" s="71"/>
      <c r="D130" s="50">
        <v>14.4</v>
      </c>
      <c r="E130" s="228"/>
      <c r="F130" s="50"/>
      <c r="G130" s="50">
        <f t="shared" si="23"/>
        <v>0</v>
      </c>
      <c r="H130" s="377" t="e">
        <f t="shared" si="24"/>
        <v>#DIV/0!</v>
      </c>
      <c r="I130" s="328"/>
    </row>
    <row r="131" spans="1:10" ht="37.5">
      <c r="A131" s="75"/>
      <c r="B131" s="85" t="s">
        <v>249</v>
      </c>
      <c r="C131" s="71"/>
      <c r="D131" s="50">
        <v>357</v>
      </c>
      <c r="E131" s="228">
        <v>420.4</v>
      </c>
      <c r="F131" s="50">
        <v>172.7</v>
      </c>
      <c r="G131" s="50">
        <f t="shared" ref="G131:G193" si="28">F131-E131</f>
        <v>-247.7</v>
      </c>
      <c r="H131" s="228">
        <f t="shared" ref="H131:H193" si="29">(F131/E131)*100</f>
        <v>41.079923882017127</v>
      </c>
      <c r="I131" s="88"/>
    </row>
    <row r="132" spans="1:10" ht="23.25" customHeight="1">
      <c r="A132" s="75"/>
      <c r="B132" s="89" t="s">
        <v>250</v>
      </c>
      <c r="C132" s="71"/>
      <c r="D132" s="50">
        <v>1145.3</v>
      </c>
      <c r="E132" s="228">
        <v>940</v>
      </c>
      <c r="F132" s="50">
        <v>1193.5</v>
      </c>
      <c r="G132" s="50">
        <f t="shared" si="28"/>
        <v>253.5</v>
      </c>
      <c r="H132" s="228">
        <f t="shared" si="29"/>
        <v>126.96808510638297</v>
      </c>
      <c r="I132" s="88"/>
    </row>
    <row r="133" spans="1:10" ht="23.25" customHeight="1">
      <c r="A133" s="75"/>
      <c r="B133" s="89" t="s">
        <v>393</v>
      </c>
      <c r="C133" s="71"/>
      <c r="D133" s="50">
        <v>161.69999999999999</v>
      </c>
      <c r="E133" s="228">
        <v>175.4</v>
      </c>
      <c r="F133" s="50">
        <v>157</v>
      </c>
      <c r="G133" s="47">
        <f t="shared" si="28"/>
        <v>-18.400000000000006</v>
      </c>
      <c r="H133" s="228">
        <f t="shared" si="29"/>
        <v>89.509692132269095</v>
      </c>
      <c r="I133" s="88"/>
    </row>
    <row r="134" spans="1:10" ht="24" customHeight="1">
      <c r="A134" s="448" t="s">
        <v>145</v>
      </c>
      <c r="B134" s="450" t="s">
        <v>437</v>
      </c>
      <c r="C134" s="373"/>
      <c r="D134" s="357"/>
      <c r="E134" s="360"/>
      <c r="F134" s="346">
        <f>F136+F146</f>
        <v>942</v>
      </c>
      <c r="G134" s="346">
        <f t="shared" si="28"/>
        <v>942</v>
      </c>
      <c r="H134" s="348" t="e">
        <f t="shared" si="29"/>
        <v>#DIV/0!</v>
      </c>
      <c r="I134" s="88"/>
      <c r="J134" s="217"/>
    </row>
    <row r="135" spans="1:10" ht="25.5" customHeight="1">
      <c r="A135" s="451"/>
      <c r="B135" s="433" t="s">
        <v>122</v>
      </c>
      <c r="C135" s="363"/>
      <c r="D135" s="50"/>
      <c r="E135" s="228"/>
      <c r="F135" s="50"/>
      <c r="G135" s="47"/>
      <c r="H135" s="216"/>
      <c r="I135" s="88"/>
    </row>
    <row r="136" spans="1:10" ht="22.5" customHeight="1">
      <c r="A136" s="452" t="s">
        <v>146</v>
      </c>
      <c r="B136" s="364" t="s">
        <v>126</v>
      </c>
      <c r="C136" s="365">
        <v>1010</v>
      </c>
      <c r="D136" s="50"/>
      <c r="E136" s="228"/>
      <c r="F136" s="47">
        <f>F137+F144</f>
        <v>356.90000000000003</v>
      </c>
      <c r="G136" s="47">
        <f t="shared" si="28"/>
        <v>356.90000000000003</v>
      </c>
      <c r="H136" s="216" t="e">
        <f t="shared" si="29"/>
        <v>#DIV/0!</v>
      </c>
      <c r="I136" s="88"/>
    </row>
    <row r="137" spans="1:10" ht="21" customHeight="1">
      <c r="A137" s="453" t="s">
        <v>270</v>
      </c>
      <c r="B137" s="366" t="s">
        <v>188</v>
      </c>
      <c r="C137" s="367">
        <v>1011</v>
      </c>
      <c r="D137" s="50"/>
      <c r="E137" s="228"/>
      <c r="F137" s="47">
        <f>SUM(F138:F143)</f>
        <v>356.50000000000006</v>
      </c>
      <c r="G137" s="47">
        <f t="shared" si="28"/>
        <v>356.50000000000006</v>
      </c>
      <c r="H137" s="216" t="e">
        <f t="shared" si="29"/>
        <v>#DIV/0!</v>
      </c>
      <c r="I137" s="88"/>
    </row>
    <row r="138" spans="1:10">
      <c r="A138" s="451"/>
      <c r="B138" s="325" t="s">
        <v>190</v>
      </c>
      <c r="C138" s="363"/>
      <c r="D138" s="50"/>
      <c r="E138" s="228"/>
      <c r="F138" s="50">
        <v>262.7</v>
      </c>
      <c r="G138" s="50">
        <f t="shared" si="28"/>
        <v>262.7</v>
      </c>
      <c r="H138" s="216" t="e">
        <f t="shared" si="29"/>
        <v>#DIV/0!</v>
      </c>
      <c r="I138" s="88"/>
    </row>
    <row r="139" spans="1:10">
      <c r="A139" s="451"/>
      <c r="B139" s="325" t="s">
        <v>199</v>
      </c>
      <c r="C139" s="363"/>
      <c r="D139" s="50"/>
      <c r="E139" s="228"/>
      <c r="F139" s="50">
        <v>2.2999999999999998</v>
      </c>
      <c r="G139" s="50">
        <f t="shared" si="28"/>
        <v>2.2999999999999998</v>
      </c>
      <c r="H139" s="216" t="e">
        <f t="shared" si="29"/>
        <v>#DIV/0!</v>
      </c>
      <c r="I139" s="88"/>
    </row>
    <row r="140" spans="1:10">
      <c r="A140" s="451"/>
      <c r="B140" s="325" t="s">
        <v>205</v>
      </c>
      <c r="C140" s="363"/>
      <c r="D140" s="50"/>
      <c r="E140" s="228"/>
      <c r="F140" s="50">
        <v>68.099999999999994</v>
      </c>
      <c r="G140" s="50">
        <f t="shared" si="28"/>
        <v>68.099999999999994</v>
      </c>
      <c r="H140" s="216" t="e">
        <f t="shared" si="29"/>
        <v>#DIV/0!</v>
      </c>
      <c r="I140" s="88"/>
    </row>
    <row r="141" spans="1:10">
      <c r="A141" s="451"/>
      <c r="B141" s="325" t="s">
        <v>280</v>
      </c>
      <c r="C141" s="363"/>
      <c r="D141" s="50"/>
      <c r="E141" s="228"/>
      <c r="F141" s="50">
        <v>1.1000000000000001</v>
      </c>
      <c r="G141" s="50">
        <f t="shared" si="28"/>
        <v>1.1000000000000001</v>
      </c>
      <c r="H141" s="216" t="e">
        <f t="shared" si="29"/>
        <v>#DIV/0!</v>
      </c>
      <c r="I141" s="88"/>
    </row>
    <row r="142" spans="1:10">
      <c r="A142" s="451"/>
      <c r="B142" s="325" t="s">
        <v>273</v>
      </c>
      <c r="C142" s="363"/>
      <c r="D142" s="50"/>
      <c r="E142" s="228"/>
      <c r="F142" s="50">
        <v>16.3</v>
      </c>
      <c r="G142" s="50">
        <f t="shared" si="28"/>
        <v>16.3</v>
      </c>
      <c r="H142" s="216" t="e">
        <f t="shared" si="29"/>
        <v>#DIV/0!</v>
      </c>
      <c r="I142" s="88"/>
    </row>
    <row r="143" spans="1:10">
      <c r="A143" s="451"/>
      <c r="B143" s="325" t="s">
        <v>189</v>
      </c>
      <c r="C143" s="363"/>
      <c r="D143" s="50"/>
      <c r="E143" s="228"/>
      <c r="F143" s="50">
        <v>6</v>
      </c>
      <c r="G143" s="50">
        <f t="shared" si="28"/>
        <v>6</v>
      </c>
      <c r="H143" s="216" t="e">
        <f t="shared" si="29"/>
        <v>#DIV/0!</v>
      </c>
      <c r="I143" s="88"/>
    </row>
    <row r="144" spans="1:10">
      <c r="A144" s="370" t="s">
        <v>438</v>
      </c>
      <c r="B144" s="366" t="s">
        <v>339</v>
      </c>
      <c r="C144" s="367">
        <v>1015</v>
      </c>
      <c r="D144" s="50"/>
      <c r="E144" s="228"/>
      <c r="F144" s="47">
        <f>F145</f>
        <v>0.4</v>
      </c>
      <c r="G144" s="47">
        <f t="shared" si="28"/>
        <v>0.4</v>
      </c>
      <c r="H144" s="216" t="e">
        <f t="shared" si="29"/>
        <v>#DIV/0!</v>
      </c>
      <c r="I144" s="88"/>
    </row>
    <row r="145" spans="1:10">
      <c r="A145" s="372"/>
      <c r="B145" s="325" t="s">
        <v>242</v>
      </c>
      <c r="C145" s="363"/>
      <c r="D145" s="50"/>
      <c r="E145" s="228"/>
      <c r="F145" s="50">
        <v>0.4</v>
      </c>
      <c r="G145" s="47">
        <f t="shared" si="28"/>
        <v>0.4</v>
      </c>
      <c r="H145" s="216" t="e">
        <f t="shared" si="29"/>
        <v>#DIV/0!</v>
      </c>
      <c r="I145" s="88"/>
    </row>
    <row r="146" spans="1:10" ht="21.75" customHeight="1">
      <c r="A146" s="368" t="s">
        <v>439</v>
      </c>
      <c r="B146" s="369" t="s">
        <v>129</v>
      </c>
      <c r="C146" s="365">
        <v>1030</v>
      </c>
      <c r="D146" s="50"/>
      <c r="E146" s="228"/>
      <c r="F146" s="47">
        <f>F147</f>
        <v>585.1</v>
      </c>
      <c r="G146" s="47">
        <f t="shared" si="28"/>
        <v>585.1</v>
      </c>
      <c r="H146" s="216" t="e">
        <f t="shared" si="29"/>
        <v>#DIV/0!</v>
      </c>
      <c r="I146" s="88"/>
    </row>
    <row r="147" spans="1:10" ht="23.25" customHeight="1">
      <c r="A147" s="370" t="s">
        <v>440</v>
      </c>
      <c r="B147" s="371" t="s">
        <v>188</v>
      </c>
      <c r="C147" s="367">
        <v>1031</v>
      </c>
      <c r="D147" s="50"/>
      <c r="E147" s="228"/>
      <c r="F147" s="47">
        <f>SUM(F148:F149)</f>
        <v>585.1</v>
      </c>
      <c r="G147" s="47">
        <f t="shared" si="28"/>
        <v>585.1</v>
      </c>
      <c r="H147" s="216" t="e">
        <f t="shared" si="29"/>
        <v>#DIV/0!</v>
      </c>
      <c r="I147" s="88"/>
    </row>
    <row r="148" spans="1:10" ht="37.5">
      <c r="A148" s="372"/>
      <c r="B148" s="325" t="s">
        <v>234</v>
      </c>
      <c r="C148" s="367"/>
      <c r="D148" s="50"/>
      <c r="E148" s="228"/>
      <c r="F148" s="50">
        <v>499.6</v>
      </c>
      <c r="G148" s="50">
        <f t="shared" si="28"/>
        <v>499.6</v>
      </c>
      <c r="H148" s="216" t="e">
        <f t="shared" si="29"/>
        <v>#DIV/0!</v>
      </c>
      <c r="I148" s="88"/>
    </row>
    <row r="149" spans="1:10">
      <c r="A149" s="372"/>
      <c r="B149" s="325" t="s">
        <v>235</v>
      </c>
      <c r="C149" s="367"/>
      <c r="D149" s="50"/>
      <c r="E149" s="228"/>
      <c r="F149" s="50">
        <v>85.5</v>
      </c>
      <c r="G149" s="50">
        <f t="shared" si="28"/>
        <v>85.5</v>
      </c>
      <c r="H149" s="216" t="e">
        <f t="shared" si="29"/>
        <v>#DIV/0!</v>
      </c>
      <c r="I149" s="88"/>
    </row>
    <row r="150" spans="1:10" ht="23.25" customHeight="1">
      <c r="A150" s="414" t="s">
        <v>147</v>
      </c>
      <c r="B150" s="454" t="s">
        <v>419</v>
      </c>
      <c r="C150" s="362"/>
      <c r="D150" s="359">
        <f>D152</f>
        <v>3.9</v>
      </c>
      <c r="E150" s="442">
        <f t="shared" ref="E150:F150" si="30">E152</f>
        <v>0</v>
      </c>
      <c r="F150" s="359">
        <f t="shared" si="30"/>
        <v>0</v>
      </c>
      <c r="G150" s="346">
        <f t="shared" si="28"/>
        <v>0</v>
      </c>
      <c r="H150" s="455" t="e">
        <f t="shared" si="29"/>
        <v>#DIV/0!</v>
      </c>
      <c r="I150" s="88"/>
    </row>
    <row r="151" spans="1:10" ht="23.25" customHeight="1">
      <c r="A151" s="84"/>
      <c r="B151" s="434" t="s">
        <v>122</v>
      </c>
      <c r="C151" s="71"/>
      <c r="D151" s="50"/>
      <c r="E151" s="228"/>
      <c r="F151" s="50"/>
      <c r="G151" s="47"/>
      <c r="H151" s="377"/>
      <c r="I151" s="88"/>
    </row>
    <row r="152" spans="1:10" ht="23.25" customHeight="1">
      <c r="A152" s="77" t="s">
        <v>148</v>
      </c>
      <c r="B152" s="78" t="s">
        <v>126</v>
      </c>
      <c r="C152" s="79">
        <v>1010</v>
      </c>
      <c r="D152" s="80">
        <f>D153</f>
        <v>3.9</v>
      </c>
      <c r="E152" s="228"/>
      <c r="F152" s="47">
        <f>F153</f>
        <v>0</v>
      </c>
      <c r="G152" s="47">
        <f t="shared" si="28"/>
        <v>0</v>
      </c>
      <c r="H152" s="377" t="e">
        <f t="shared" si="29"/>
        <v>#DIV/0!</v>
      </c>
      <c r="I152" s="88"/>
    </row>
    <row r="153" spans="1:10" ht="24" customHeight="1">
      <c r="A153" s="81" t="s">
        <v>271</v>
      </c>
      <c r="B153" s="82" t="s">
        <v>188</v>
      </c>
      <c r="C153" s="83">
        <v>1011</v>
      </c>
      <c r="D153" s="47">
        <f>D154</f>
        <v>3.9</v>
      </c>
      <c r="E153" s="228"/>
      <c r="F153" s="47">
        <f>F154</f>
        <v>0</v>
      </c>
      <c r="G153" s="47">
        <f t="shared" si="28"/>
        <v>0</v>
      </c>
      <c r="H153" s="377" t="e">
        <f t="shared" si="29"/>
        <v>#DIV/0!</v>
      </c>
      <c r="I153" s="88"/>
    </row>
    <row r="154" spans="1:10" ht="24" customHeight="1">
      <c r="A154" s="84"/>
      <c r="B154" s="59" t="s">
        <v>304</v>
      </c>
      <c r="C154" s="71"/>
      <c r="D154" s="50">
        <v>3.9</v>
      </c>
      <c r="E154" s="228"/>
      <c r="F154" s="50"/>
      <c r="G154" s="50">
        <f t="shared" si="28"/>
        <v>0</v>
      </c>
      <c r="H154" s="377" t="e">
        <f t="shared" si="29"/>
        <v>#DIV/0!</v>
      </c>
      <c r="I154" s="88"/>
    </row>
    <row r="155" spans="1:10" s="376" customFormat="1" ht="28.5" customHeight="1">
      <c r="A155" s="414" t="s">
        <v>149</v>
      </c>
      <c r="B155" s="456" t="s">
        <v>449</v>
      </c>
      <c r="C155" s="362"/>
      <c r="D155" s="359">
        <f>D157</f>
        <v>0</v>
      </c>
      <c r="E155" s="359">
        <f t="shared" ref="E155:F155" si="31">E157</f>
        <v>0</v>
      </c>
      <c r="F155" s="359">
        <f t="shared" si="31"/>
        <v>31</v>
      </c>
      <c r="G155" s="346">
        <f t="shared" si="28"/>
        <v>31</v>
      </c>
      <c r="H155" s="455" t="e">
        <f t="shared" si="29"/>
        <v>#DIV/0!</v>
      </c>
      <c r="I155" s="374"/>
      <c r="J155" s="375"/>
    </row>
    <row r="156" spans="1:10" s="376" customFormat="1" ht="25.5" customHeight="1">
      <c r="A156" s="372"/>
      <c r="B156" s="444" t="s">
        <v>122</v>
      </c>
      <c r="C156" s="363"/>
      <c r="D156" s="50"/>
      <c r="E156" s="50"/>
      <c r="F156" s="50"/>
      <c r="G156" s="47"/>
      <c r="H156" s="406"/>
      <c r="I156" s="374"/>
      <c r="J156" s="375"/>
    </row>
    <row r="157" spans="1:10" s="376" customFormat="1" ht="24" customHeight="1">
      <c r="A157" s="368" t="s">
        <v>153</v>
      </c>
      <c r="B157" s="364" t="s">
        <v>126</v>
      </c>
      <c r="C157" s="365">
        <v>1010</v>
      </c>
      <c r="D157" s="80">
        <f>D158</f>
        <v>0</v>
      </c>
      <c r="E157" s="226">
        <f>E158+E159</f>
        <v>0</v>
      </c>
      <c r="F157" s="80">
        <f>F158</f>
        <v>31</v>
      </c>
      <c r="G157" s="80">
        <f t="shared" si="28"/>
        <v>31</v>
      </c>
      <c r="H157" s="378" t="e">
        <f t="shared" si="29"/>
        <v>#DIV/0!</v>
      </c>
      <c r="I157" s="374"/>
      <c r="J157" s="375"/>
    </row>
    <row r="158" spans="1:10" s="376" customFormat="1" ht="24.75" customHeight="1">
      <c r="A158" s="370" t="s">
        <v>274</v>
      </c>
      <c r="B158" s="379" t="s">
        <v>188</v>
      </c>
      <c r="C158" s="367">
        <v>1011</v>
      </c>
      <c r="D158" s="47">
        <f>D159</f>
        <v>0</v>
      </c>
      <c r="E158" s="47"/>
      <c r="F158" s="47">
        <f>F159</f>
        <v>31</v>
      </c>
      <c r="G158" s="47">
        <f t="shared" si="28"/>
        <v>31</v>
      </c>
      <c r="H158" s="377" t="e">
        <f t="shared" si="29"/>
        <v>#DIV/0!</v>
      </c>
      <c r="I158" s="374"/>
      <c r="J158" s="375"/>
    </row>
    <row r="159" spans="1:10" s="376" customFormat="1" ht="26.25" customHeight="1">
      <c r="A159" s="372"/>
      <c r="B159" s="322" t="s">
        <v>280</v>
      </c>
      <c r="C159" s="363"/>
      <c r="D159" s="50"/>
      <c r="E159" s="50"/>
      <c r="F159" s="50">
        <v>31</v>
      </c>
      <c r="G159" s="50">
        <f t="shared" si="28"/>
        <v>31</v>
      </c>
      <c r="H159" s="377" t="e">
        <f t="shared" si="29"/>
        <v>#DIV/0!</v>
      </c>
      <c r="I159" s="374"/>
      <c r="J159" s="375"/>
    </row>
    <row r="160" spans="1:10" ht="49.5" customHeight="1">
      <c r="A160" s="414" t="s">
        <v>277</v>
      </c>
      <c r="B160" s="456" t="s">
        <v>272</v>
      </c>
      <c r="C160" s="347"/>
      <c r="D160" s="346">
        <f>SUM(D162)</f>
        <v>6.9</v>
      </c>
      <c r="E160" s="442">
        <f>SUM(E162)</f>
        <v>22</v>
      </c>
      <c r="F160" s="346">
        <f>SUM(F162)</f>
        <v>2.2000000000000002</v>
      </c>
      <c r="G160" s="346">
        <f t="shared" si="28"/>
        <v>-19.8</v>
      </c>
      <c r="H160" s="442">
        <f t="shared" si="29"/>
        <v>10</v>
      </c>
      <c r="I160" s="88"/>
    </row>
    <row r="161" spans="1:10" ht="21" customHeight="1">
      <c r="A161" s="416"/>
      <c r="B161" s="436" t="s">
        <v>122</v>
      </c>
      <c r="C161" s="435"/>
      <c r="D161" s="47"/>
      <c r="E161" s="406"/>
      <c r="F161" s="47"/>
      <c r="G161" s="47"/>
      <c r="H161" s="406"/>
      <c r="I161" s="88"/>
    </row>
    <row r="162" spans="1:10" ht="22.5" customHeight="1">
      <c r="A162" s="102" t="s">
        <v>150</v>
      </c>
      <c r="B162" s="92" t="s">
        <v>129</v>
      </c>
      <c r="C162" s="103">
        <v>1030</v>
      </c>
      <c r="D162" s="80">
        <f>D163</f>
        <v>6.9</v>
      </c>
      <c r="E162" s="227">
        <f>E163</f>
        <v>22</v>
      </c>
      <c r="F162" s="80">
        <f>F163</f>
        <v>2.2000000000000002</v>
      </c>
      <c r="G162" s="80">
        <f t="shared" si="28"/>
        <v>-19.8</v>
      </c>
      <c r="H162" s="227">
        <f t="shared" si="29"/>
        <v>10</v>
      </c>
      <c r="I162" s="88"/>
    </row>
    <row r="163" spans="1:10" ht="21.75" customHeight="1">
      <c r="A163" s="98" t="s">
        <v>279</v>
      </c>
      <c r="B163" s="82" t="s">
        <v>188</v>
      </c>
      <c r="C163" s="439">
        <v>1031</v>
      </c>
      <c r="D163" s="47">
        <f>D164+D166</f>
        <v>6.9</v>
      </c>
      <c r="E163" s="406">
        <f>E164</f>
        <v>22</v>
      </c>
      <c r="F163" s="47">
        <f>F164+F166+F165</f>
        <v>2.2000000000000002</v>
      </c>
      <c r="G163" s="47">
        <f t="shared" si="28"/>
        <v>-19.8</v>
      </c>
      <c r="H163" s="406">
        <f t="shared" si="29"/>
        <v>10</v>
      </c>
      <c r="I163" s="88"/>
    </row>
    <row r="164" spans="1:10">
      <c r="A164" s="100"/>
      <c r="B164" s="87" t="s">
        <v>273</v>
      </c>
      <c r="C164" s="101"/>
      <c r="D164" s="50">
        <v>4.9000000000000004</v>
      </c>
      <c r="E164" s="228">
        <v>22</v>
      </c>
      <c r="F164" s="50">
        <v>1.7</v>
      </c>
      <c r="G164" s="50">
        <f t="shared" si="28"/>
        <v>-20.3</v>
      </c>
      <c r="H164" s="228">
        <f t="shared" si="29"/>
        <v>7.7272727272727266</v>
      </c>
      <c r="I164" s="88"/>
    </row>
    <row r="165" spans="1:10">
      <c r="A165" s="100"/>
      <c r="B165" s="87" t="s">
        <v>280</v>
      </c>
      <c r="C165" s="101"/>
      <c r="D165" s="50"/>
      <c r="E165" s="228"/>
      <c r="F165" s="50">
        <v>0.5</v>
      </c>
      <c r="G165" s="50">
        <f t="shared" si="28"/>
        <v>0.5</v>
      </c>
      <c r="H165" s="216" t="e">
        <f t="shared" si="29"/>
        <v>#DIV/0!</v>
      </c>
      <c r="I165" s="88"/>
    </row>
    <row r="166" spans="1:10">
      <c r="A166" s="100"/>
      <c r="B166" s="89" t="s">
        <v>409</v>
      </c>
      <c r="C166" s="101"/>
      <c r="D166" s="50">
        <v>2</v>
      </c>
      <c r="E166" s="228"/>
      <c r="F166" s="50"/>
      <c r="G166" s="50">
        <f t="shared" si="28"/>
        <v>0</v>
      </c>
      <c r="H166" s="216" t="e">
        <f t="shared" si="29"/>
        <v>#DIV/0!</v>
      </c>
      <c r="I166" s="88"/>
    </row>
    <row r="167" spans="1:10" ht="24" customHeight="1">
      <c r="A167" s="414" t="s">
        <v>281</v>
      </c>
      <c r="B167" s="450" t="s">
        <v>506</v>
      </c>
      <c r="C167" s="457"/>
      <c r="D167" s="359">
        <f>SUM(D169,D175)</f>
        <v>102.79999999999998</v>
      </c>
      <c r="E167" s="442">
        <f t="shared" ref="E167:F167" si="32">SUM(E169,E175)</f>
        <v>205.4</v>
      </c>
      <c r="F167" s="359">
        <f t="shared" si="32"/>
        <v>147.20000000000002</v>
      </c>
      <c r="G167" s="346">
        <f t="shared" si="28"/>
        <v>-58.199999999999989</v>
      </c>
      <c r="H167" s="442">
        <f t="shared" si="29"/>
        <v>71.665043816942557</v>
      </c>
      <c r="I167" s="261"/>
      <c r="J167" s="28">
        <v>124.9</v>
      </c>
    </row>
    <row r="168" spans="1:10" ht="22.5" customHeight="1">
      <c r="A168" s="100"/>
      <c r="B168" s="434" t="s">
        <v>122</v>
      </c>
      <c r="C168" s="99"/>
      <c r="D168" s="104"/>
      <c r="E168" s="228"/>
      <c r="F168" s="104"/>
      <c r="G168" s="47"/>
      <c r="H168" s="406"/>
      <c r="I168" s="88"/>
    </row>
    <row r="169" spans="1:10" ht="20.25" customHeight="1">
      <c r="A169" s="102" t="s">
        <v>283</v>
      </c>
      <c r="B169" s="78" t="s">
        <v>126</v>
      </c>
      <c r="C169" s="79">
        <v>1010</v>
      </c>
      <c r="D169" s="105">
        <f>D170</f>
        <v>102.79999999999998</v>
      </c>
      <c r="E169" s="407">
        <f>SUM(E170)</f>
        <v>205.4</v>
      </c>
      <c r="F169" s="105">
        <f>F170+F181</f>
        <v>147.20000000000002</v>
      </c>
      <c r="G169" s="80">
        <f t="shared" si="28"/>
        <v>-58.199999999999989</v>
      </c>
      <c r="H169" s="227">
        <f t="shared" si="29"/>
        <v>71.665043816942557</v>
      </c>
      <c r="I169" s="88"/>
    </row>
    <row r="170" spans="1:10" ht="21.75" customHeight="1">
      <c r="A170" s="98" t="s">
        <v>284</v>
      </c>
      <c r="B170" s="82" t="s">
        <v>188</v>
      </c>
      <c r="C170" s="83">
        <v>1011</v>
      </c>
      <c r="D170" s="106">
        <f>SUM(D171:D174)</f>
        <v>102.79999999999998</v>
      </c>
      <c r="E170" s="409">
        <f>SUM(E171:E174)</f>
        <v>205.4</v>
      </c>
      <c r="F170" s="106">
        <f>F171+F172+F173+F174</f>
        <v>145.70000000000002</v>
      </c>
      <c r="G170" s="47">
        <f t="shared" si="28"/>
        <v>-59.699999999999989</v>
      </c>
      <c r="H170" s="406">
        <f t="shared" si="29"/>
        <v>70.934761441090572</v>
      </c>
      <c r="I170" s="88"/>
    </row>
    <row r="171" spans="1:10">
      <c r="A171" s="100"/>
      <c r="B171" s="76" t="s">
        <v>200</v>
      </c>
      <c r="C171" s="83"/>
      <c r="D171" s="228">
        <v>81.099999999999994</v>
      </c>
      <c r="E171" s="408">
        <v>160</v>
      </c>
      <c r="F171" s="228">
        <v>103.4</v>
      </c>
      <c r="G171" s="50">
        <f t="shared" si="28"/>
        <v>-56.599999999999994</v>
      </c>
      <c r="H171" s="228">
        <f t="shared" si="29"/>
        <v>64.625</v>
      </c>
      <c r="I171" s="88"/>
    </row>
    <row r="172" spans="1:10">
      <c r="A172" s="100"/>
      <c r="B172" s="76" t="s">
        <v>201</v>
      </c>
      <c r="C172" s="83"/>
      <c r="D172" s="228">
        <v>6.6</v>
      </c>
      <c r="E172" s="408">
        <v>3</v>
      </c>
      <c r="F172" s="228">
        <v>7.9</v>
      </c>
      <c r="G172" s="50">
        <f t="shared" si="28"/>
        <v>4.9000000000000004</v>
      </c>
      <c r="H172" s="228">
        <f t="shared" si="29"/>
        <v>263.33333333333331</v>
      </c>
      <c r="I172" s="88"/>
    </row>
    <row r="173" spans="1:10">
      <c r="A173" s="100"/>
      <c r="B173" s="76" t="s">
        <v>202</v>
      </c>
      <c r="C173" s="83"/>
      <c r="D173" s="228">
        <v>13.8</v>
      </c>
      <c r="E173" s="408">
        <v>40</v>
      </c>
      <c r="F173" s="228">
        <v>32</v>
      </c>
      <c r="G173" s="50">
        <f t="shared" si="28"/>
        <v>-8</v>
      </c>
      <c r="H173" s="228">
        <f t="shared" si="29"/>
        <v>80</v>
      </c>
      <c r="I173" s="88"/>
    </row>
    <row r="174" spans="1:10">
      <c r="A174" s="100"/>
      <c r="B174" s="76" t="s">
        <v>275</v>
      </c>
      <c r="C174" s="83"/>
      <c r="D174" s="228">
        <v>1.3</v>
      </c>
      <c r="E174" s="408">
        <v>2.4</v>
      </c>
      <c r="F174" s="228">
        <v>2.4</v>
      </c>
      <c r="G174" s="50">
        <f t="shared" si="28"/>
        <v>0</v>
      </c>
      <c r="H174" s="228">
        <f t="shared" si="29"/>
        <v>100</v>
      </c>
      <c r="I174" s="88"/>
    </row>
    <row r="175" spans="1:10" ht="19.5" hidden="1">
      <c r="A175" s="102" t="s">
        <v>154</v>
      </c>
      <c r="B175" s="91" t="s">
        <v>351</v>
      </c>
      <c r="C175" s="107">
        <v>1030</v>
      </c>
      <c r="D175" s="105">
        <f>D176</f>
        <v>0</v>
      </c>
      <c r="E175" s="227">
        <f>SUM(E176)</f>
        <v>0</v>
      </c>
      <c r="F175" s="105">
        <f>SUM(F176)</f>
        <v>0</v>
      </c>
      <c r="G175" s="47">
        <f t="shared" si="28"/>
        <v>0</v>
      </c>
      <c r="H175" s="330" t="e">
        <f t="shared" si="29"/>
        <v>#DIV/0!</v>
      </c>
      <c r="I175" s="88"/>
    </row>
    <row r="176" spans="1:10" ht="19.5" hidden="1">
      <c r="A176" s="98" t="s">
        <v>276</v>
      </c>
      <c r="B176" s="92" t="s">
        <v>352</v>
      </c>
      <c r="C176" s="108">
        <v>1031</v>
      </c>
      <c r="D176" s="106">
        <f>SUM(D177:D180)</f>
        <v>0</v>
      </c>
      <c r="E176" s="406">
        <f>E177+E178+E179+E180</f>
        <v>0</v>
      </c>
      <c r="F176" s="106">
        <f>F177+F178+F179+F180</f>
        <v>0</v>
      </c>
      <c r="G176" s="47">
        <f t="shared" si="28"/>
        <v>0</v>
      </c>
      <c r="H176" s="406" t="e">
        <f t="shared" si="29"/>
        <v>#DIV/0!</v>
      </c>
      <c r="I176" s="88"/>
    </row>
    <row r="177" spans="1:13" hidden="1">
      <c r="A177" s="100"/>
      <c r="B177" s="76" t="s">
        <v>200</v>
      </c>
      <c r="C177" s="99"/>
      <c r="D177" s="458"/>
      <c r="E177" s="408"/>
      <c r="F177" s="104"/>
      <c r="G177" s="47">
        <f t="shared" si="28"/>
        <v>0</v>
      </c>
      <c r="H177" s="406" t="e">
        <f t="shared" si="29"/>
        <v>#DIV/0!</v>
      </c>
      <c r="I177" s="88"/>
    </row>
    <row r="178" spans="1:13" hidden="1">
      <c r="A178" s="100"/>
      <c r="B178" s="76" t="s">
        <v>201</v>
      </c>
      <c r="C178" s="99"/>
      <c r="D178" s="458"/>
      <c r="E178" s="408"/>
      <c r="F178" s="104"/>
      <c r="G178" s="47">
        <f t="shared" si="28"/>
        <v>0</v>
      </c>
      <c r="H178" s="406" t="e">
        <f t="shared" si="29"/>
        <v>#DIV/0!</v>
      </c>
      <c r="I178" s="88"/>
    </row>
    <row r="179" spans="1:13" hidden="1">
      <c r="A179" s="100"/>
      <c r="B179" s="76" t="s">
        <v>202</v>
      </c>
      <c r="C179" s="99"/>
      <c r="D179" s="458"/>
      <c r="E179" s="408"/>
      <c r="F179" s="104"/>
      <c r="G179" s="47">
        <f t="shared" si="28"/>
        <v>0</v>
      </c>
      <c r="H179" s="406" t="e">
        <f t="shared" si="29"/>
        <v>#DIV/0!</v>
      </c>
      <c r="I179" s="88"/>
    </row>
    <row r="180" spans="1:13" hidden="1">
      <c r="A180" s="100"/>
      <c r="B180" s="76" t="s">
        <v>275</v>
      </c>
      <c r="C180" s="99"/>
      <c r="D180" s="458"/>
      <c r="E180" s="408"/>
      <c r="F180" s="104"/>
      <c r="G180" s="47">
        <f t="shared" si="28"/>
        <v>0</v>
      </c>
      <c r="H180" s="406" t="e">
        <f t="shared" si="29"/>
        <v>#DIV/0!</v>
      </c>
      <c r="I180" s="88"/>
    </row>
    <row r="181" spans="1:13">
      <c r="A181" s="98" t="s">
        <v>501</v>
      </c>
      <c r="B181" s="90" t="s">
        <v>339</v>
      </c>
      <c r="C181" s="83">
        <v>1015</v>
      </c>
      <c r="D181" s="458"/>
      <c r="E181" s="408"/>
      <c r="F181" s="106">
        <f>F182+F183</f>
        <v>1.5</v>
      </c>
      <c r="G181" s="47">
        <f t="shared" si="28"/>
        <v>1.5</v>
      </c>
      <c r="H181" s="377" t="e">
        <f t="shared" si="29"/>
        <v>#DIV/0!</v>
      </c>
      <c r="I181" s="88"/>
    </row>
    <row r="182" spans="1:13">
      <c r="A182" s="100"/>
      <c r="B182" s="87" t="s">
        <v>213</v>
      </c>
      <c r="C182" s="83"/>
      <c r="D182" s="458"/>
      <c r="E182" s="408"/>
      <c r="F182" s="104">
        <v>0.7</v>
      </c>
      <c r="G182" s="50">
        <f t="shared" si="28"/>
        <v>0.7</v>
      </c>
      <c r="H182" s="377" t="e">
        <f t="shared" si="29"/>
        <v>#DIV/0!</v>
      </c>
      <c r="I182" s="88"/>
    </row>
    <row r="183" spans="1:13">
      <c r="A183" s="100"/>
      <c r="B183" s="87" t="s">
        <v>215</v>
      </c>
      <c r="C183" s="99"/>
      <c r="D183" s="458"/>
      <c r="E183" s="408"/>
      <c r="F183" s="104">
        <v>0.8</v>
      </c>
      <c r="G183" s="50">
        <f t="shared" si="28"/>
        <v>0.8</v>
      </c>
      <c r="H183" s="377" t="e">
        <f t="shared" si="29"/>
        <v>#DIV/0!</v>
      </c>
      <c r="I183" s="88"/>
    </row>
    <row r="184" spans="1:13" ht="37.5">
      <c r="A184" s="414" t="s">
        <v>287</v>
      </c>
      <c r="B184" s="450" t="s">
        <v>278</v>
      </c>
      <c r="C184" s="362"/>
      <c r="D184" s="359">
        <f>SUM(D186,D194)</f>
        <v>11229.599999999999</v>
      </c>
      <c r="E184" s="442">
        <f t="shared" ref="E184:F184" si="33">SUM(E186,E194)</f>
        <v>13524.900000000001</v>
      </c>
      <c r="F184" s="359">
        <f t="shared" si="33"/>
        <v>16602.5</v>
      </c>
      <c r="G184" s="346">
        <f t="shared" si="28"/>
        <v>3077.5999999999985</v>
      </c>
      <c r="H184" s="442">
        <f t="shared" si="29"/>
        <v>122.75506658089893</v>
      </c>
      <c r="I184" s="88"/>
    </row>
    <row r="185" spans="1:13" ht="23.25" customHeight="1">
      <c r="A185" s="100"/>
      <c r="B185" s="434" t="s">
        <v>122</v>
      </c>
      <c r="C185" s="99"/>
      <c r="D185" s="104"/>
      <c r="E185" s="408"/>
      <c r="F185" s="104"/>
      <c r="G185" s="47"/>
      <c r="H185" s="406"/>
      <c r="I185" s="88"/>
    </row>
    <row r="186" spans="1:13" ht="21.75" customHeight="1">
      <c r="A186" s="102" t="s">
        <v>288</v>
      </c>
      <c r="B186" s="78" t="s">
        <v>126</v>
      </c>
      <c r="C186" s="79">
        <v>1010</v>
      </c>
      <c r="D186" s="105">
        <f>D187</f>
        <v>5717.2999999999993</v>
      </c>
      <c r="E186" s="407">
        <f>E187</f>
        <v>6265.7</v>
      </c>
      <c r="F186" s="105">
        <f>F187</f>
        <v>3746.3999999999996</v>
      </c>
      <c r="G186" s="80">
        <f t="shared" si="28"/>
        <v>-2519.3000000000002</v>
      </c>
      <c r="H186" s="227">
        <f t="shared" si="29"/>
        <v>59.792201988604617</v>
      </c>
      <c r="I186" s="88"/>
    </row>
    <row r="187" spans="1:13" ht="21.75" customHeight="1">
      <c r="A187" s="98" t="s">
        <v>451</v>
      </c>
      <c r="B187" s="82" t="s">
        <v>188</v>
      </c>
      <c r="C187" s="108">
        <v>1011</v>
      </c>
      <c r="D187" s="106">
        <f>SUM(D188:D191)</f>
        <v>5717.2999999999993</v>
      </c>
      <c r="E187" s="409">
        <f>E188+E189+E191</f>
        <v>6265.7</v>
      </c>
      <c r="F187" s="106">
        <f>SUM(F188:F192)+F193</f>
        <v>3746.3999999999996</v>
      </c>
      <c r="G187" s="47">
        <f t="shared" si="28"/>
        <v>-2519.3000000000002</v>
      </c>
      <c r="H187" s="406">
        <f t="shared" si="29"/>
        <v>59.792201988604617</v>
      </c>
      <c r="I187" s="88"/>
    </row>
    <row r="188" spans="1:13">
      <c r="A188" s="100"/>
      <c r="B188" s="95" t="s">
        <v>280</v>
      </c>
      <c r="C188" s="99"/>
      <c r="D188" s="104">
        <v>910.4</v>
      </c>
      <c r="E188" s="408">
        <v>1263.7</v>
      </c>
      <c r="F188" s="104">
        <v>517.20000000000005</v>
      </c>
      <c r="G188" s="50">
        <f t="shared" si="28"/>
        <v>-746.5</v>
      </c>
      <c r="H188" s="228">
        <f t="shared" si="29"/>
        <v>40.927435309013219</v>
      </c>
      <c r="I188" s="88"/>
    </row>
    <row r="189" spans="1:13">
      <c r="A189" s="100"/>
      <c r="B189" s="95" t="s">
        <v>237</v>
      </c>
      <c r="C189" s="99"/>
      <c r="D189" s="104">
        <v>4770.6000000000004</v>
      </c>
      <c r="E189" s="408">
        <v>5000</v>
      </c>
      <c r="F189" s="104">
        <v>2814.2</v>
      </c>
      <c r="G189" s="50">
        <f t="shared" si="28"/>
        <v>-2185.8000000000002</v>
      </c>
      <c r="H189" s="228">
        <f t="shared" si="29"/>
        <v>56.283999999999999</v>
      </c>
      <c r="I189" s="88"/>
    </row>
    <row r="190" spans="1:13">
      <c r="A190" s="100"/>
      <c r="B190" s="85" t="s">
        <v>190</v>
      </c>
      <c r="C190" s="99"/>
      <c r="D190" s="104">
        <v>34.4</v>
      </c>
      <c r="E190" s="408"/>
      <c r="F190" s="104">
        <v>266.3</v>
      </c>
      <c r="G190" s="50">
        <f t="shared" si="28"/>
        <v>266.3</v>
      </c>
      <c r="H190" s="216" t="e">
        <f t="shared" si="29"/>
        <v>#DIV/0!</v>
      </c>
      <c r="I190" s="88"/>
    </row>
    <row r="191" spans="1:13">
      <c r="A191" s="100"/>
      <c r="B191" s="95" t="s">
        <v>319</v>
      </c>
      <c r="C191" s="99"/>
      <c r="D191" s="104">
        <v>1.9</v>
      </c>
      <c r="E191" s="408">
        <v>2</v>
      </c>
      <c r="F191" s="104"/>
      <c r="G191" s="50">
        <f t="shared" si="28"/>
        <v>-2</v>
      </c>
      <c r="H191" s="406">
        <f t="shared" si="29"/>
        <v>0</v>
      </c>
      <c r="I191" s="88"/>
      <c r="M191" s="88"/>
    </row>
    <row r="192" spans="1:13">
      <c r="A192" s="100"/>
      <c r="B192" s="95" t="s">
        <v>236</v>
      </c>
      <c r="C192" s="99"/>
      <c r="D192" s="104"/>
      <c r="E192" s="408"/>
      <c r="F192" s="104">
        <v>148.6</v>
      </c>
      <c r="G192" s="50">
        <f t="shared" si="28"/>
        <v>148.6</v>
      </c>
      <c r="H192" s="377" t="e">
        <f t="shared" si="29"/>
        <v>#DIV/0!</v>
      </c>
      <c r="I192" s="88"/>
    </row>
    <row r="193" spans="1:9">
      <c r="A193" s="100"/>
      <c r="B193" s="95" t="s">
        <v>192</v>
      </c>
      <c r="C193" s="99"/>
      <c r="D193" s="104"/>
      <c r="E193" s="408"/>
      <c r="F193" s="104">
        <v>0.1</v>
      </c>
      <c r="G193" s="50">
        <f t="shared" si="28"/>
        <v>0.1</v>
      </c>
      <c r="H193" s="377" t="e">
        <f t="shared" si="29"/>
        <v>#DIV/0!</v>
      </c>
      <c r="I193" s="88"/>
    </row>
    <row r="194" spans="1:9" ht="19.5">
      <c r="A194" s="102" t="s">
        <v>452</v>
      </c>
      <c r="B194" s="92" t="s">
        <v>129</v>
      </c>
      <c r="C194" s="107">
        <v>1030</v>
      </c>
      <c r="D194" s="105">
        <f>SUM(D195)</f>
        <v>5512.3</v>
      </c>
      <c r="E194" s="227">
        <f>SUM(E195)</f>
        <v>7259.2000000000007</v>
      </c>
      <c r="F194" s="105">
        <f>F195</f>
        <v>12856.1</v>
      </c>
      <c r="G194" s="80">
        <f t="shared" ref="G194:G252" si="34">F194-E194</f>
        <v>5596.9</v>
      </c>
      <c r="H194" s="227">
        <f t="shared" ref="H194:H253" si="35">(F194/E194)*100</f>
        <v>177.10078245536698</v>
      </c>
      <c r="I194" s="88"/>
    </row>
    <row r="195" spans="1:9">
      <c r="A195" s="98" t="s">
        <v>453</v>
      </c>
      <c r="B195" s="82" t="s">
        <v>188</v>
      </c>
      <c r="C195" s="108">
        <v>1031</v>
      </c>
      <c r="D195" s="106">
        <f>SUM(D196:D199)</f>
        <v>5512.3</v>
      </c>
      <c r="E195" s="406">
        <f>SUM(E196:E199)</f>
        <v>7259.2000000000007</v>
      </c>
      <c r="F195" s="106">
        <f>SUM(F196:F199)</f>
        <v>12856.1</v>
      </c>
      <c r="G195" s="47">
        <f t="shared" si="34"/>
        <v>5596.9</v>
      </c>
      <c r="H195" s="406">
        <f t="shared" si="35"/>
        <v>177.10078245536698</v>
      </c>
      <c r="I195" s="88"/>
    </row>
    <row r="196" spans="1:9">
      <c r="A196" s="100"/>
      <c r="B196" s="95" t="s">
        <v>236</v>
      </c>
      <c r="C196" s="99"/>
      <c r="D196" s="104">
        <v>5406.1</v>
      </c>
      <c r="E196" s="408">
        <v>7258.6</v>
      </c>
      <c r="F196" s="104">
        <v>12856</v>
      </c>
      <c r="G196" s="50">
        <f t="shared" si="34"/>
        <v>5597.4</v>
      </c>
      <c r="H196" s="228">
        <f t="shared" si="35"/>
        <v>177.1140440305293</v>
      </c>
      <c r="I196" s="88"/>
    </row>
    <row r="197" spans="1:9">
      <c r="A197" s="100"/>
      <c r="B197" s="95" t="s">
        <v>394</v>
      </c>
      <c r="C197" s="99"/>
      <c r="D197" s="104">
        <v>0.7</v>
      </c>
      <c r="E197" s="408"/>
      <c r="F197" s="104"/>
      <c r="G197" s="50">
        <f t="shared" si="34"/>
        <v>0</v>
      </c>
      <c r="H197" s="216" t="e">
        <f t="shared" si="35"/>
        <v>#DIV/0!</v>
      </c>
      <c r="I197" s="88"/>
    </row>
    <row r="198" spans="1:9">
      <c r="A198" s="100"/>
      <c r="B198" s="95" t="s">
        <v>237</v>
      </c>
      <c r="C198" s="99"/>
      <c r="D198" s="104">
        <v>102.7</v>
      </c>
      <c r="E198" s="408"/>
      <c r="F198" s="104"/>
      <c r="G198" s="50">
        <f t="shared" si="34"/>
        <v>0</v>
      </c>
      <c r="H198" s="216" t="e">
        <f t="shared" si="35"/>
        <v>#DIV/0!</v>
      </c>
      <c r="I198" s="88"/>
    </row>
    <row r="199" spans="1:9">
      <c r="A199" s="100"/>
      <c r="B199" s="95" t="s">
        <v>238</v>
      </c>
      <c r="C199" s="99"/>
      <c r="D199" s="104">
        <v>2.8</v>
      </c>
      <c r="E199" s="408">
        <v>0.6</v>
      </c>
      <c r="F199" s="104">
        <v>0.1</v>
      </c>
      <c r="G199" s="50">
        <f t="shared" si="34"/>
        <v>-0.5</v>
      </c>
      <c r="H199" s="228">
        <f t="shared" si="35"/>
        <v>16.666666666666668</v>
      </c>
      <c r="I199" s="88"/>
    </row>
    <row r="200" spans="1:9" ht="23.25" customHeight="1">
      <c r="A200" s="414" t="s">
        <v>289</v>
      </c>
      <c r="B200" s="450" t="s">
        <v>282</v>
      </c>
      <c r="C200" s="362"/>
      <c r="D200" s="359">
        <f>SUM(D214,D210,D202)</f>
        <v>4.9000000000000004</v>
      </c>
      <c r="E200" s="442">
        <f>SUM(E214,E210,E202)</f>
        <v>0</v>
      </c>
      <c r="F200" s="359">
        <f>SUM(F214,F210,F202,)</f>
        <v>126.3</v>
      </c>
      <c r="G200" s="346">
        <f t="shared" si="34"/>
        <v>126.3</v>
      </c>
      <c r="H200" s="348" t="e">
        <f t="shared" si="35"/>
        <v>#DIV/0!</v>
      </c>
      <c r="I200" s="261"/>
    </row>
    <row r="201" spans="1:9" ht="24.75" customHeight="1">
      <c r="A201" s="416"/>
      <c r="B201" s="437" t="s">
        <v>122</v>
      </c>
      <c r="C201" s="312"/>
      <c r="D201" s="106"/>
      <c r="E201" s="406"/>
      <c r="F201" s="106"/>
      <c r="G201" s="47"/>
      <c r="H201" s="228"/>
      <c r="I201" s="261"/>
    </row>
    <row r="202" spans="1:9" ht="21.75" customHeight="1">
      <c r="A202" s="102" t="s">
        <v>290</v>
      </c>
      <c r="B202" s="78" t="s">
        <v>126</v>
      </c>
      <c r="C202" s="79">
        <v>1010</v>
      </c>
      <c r="D202" s="105">
        <f>SUM(D203)</f>
        <v>2</v>
      </c>
      <c r="E202" s="227">
        <f t="shared" ref="E202" si="36">SUM(E203)</f>
        <v>0</v>
      </c>
      <c r="F202" s="105">
        <f>SUM(F203)</f>
        <v>126.3</v>
      </c>
      <c r="G202" s="80">
        <f t="shared" si="34"/>
        <v>126.3</v>
      </c>
      <c r="H202" s="377" t="e">
        <f t="shared" si="35"/>
        <v>#DIV/0!</v>
      </c>
      <c r="I202" s="88"/>
    </row>
    <row r="203" spans="1:9" ht="23.25" customHeight="1">
      <c r="A203" s="98" t="s">
        <v>410</v>
      </c>
      <c r="B203" s="82" t="s">
        <v>188</v>
      </c>
      <c r="C203" s="83">
        <v>1011</v>
      </c>
      <c r="D203" s="106">
        <f>SUM(D205:D206)+D208+D209</f>
        <v>2</v>
      </c>
      <c r="E203" s="406">
        <f t="shared" ref="E203" si="37">SUM(E205:E206)</f>
        <v>0</v>
      </c>
      <c r="F203" s="106">
        <f>SUM(F204:F209)</f>
        <v>126.3</v>
      </c>
      <c r="G203" s="47">
        <f t="shared" si="34"/>
        <v>126.3</v>
      </c>
      <c r="H203" s="377" t="e">
        <f t="shared" si="35"/>
        <v>#DIV/0!</v>
      </c>
      <c r="I203" s="88"/>
    </row>
    <row r="204" spans="1:9">
      <c r="A204" s="98"/>
      <c r="B204" s="85" t="s">
        <v>190</v>
      </c>
      <c r="C204" s="83"/>
      <c r="D204" s="106"/>
      <c r="E204" s="406"/>
      <c r="F204" s="104">
        <v>18.399999999999999</v>
      </c>
      <c r="G204" s="50">
        <f t="shared" si="34"/>
        <v>18.399999999999999</v>
      </c>
      <c r="H204" s="216" t="e">
        <f t="shared" si="35"/>
        <v>#DIV/0!</v>
      </c>
      <c r="I204" s="88"/>
    </row>
    <row r="205" spans="1:9">
      <c r="A205" s="98"/>
      <c r="B205" s="87" t="s">
        <v>273</v>
      </c>
      <c r="C205" s="99"/>
      <c r="D205" s="104"/>
      <c r="E205" s="408"/>
      <c r="F205" s="104">
        <v>87.8</v>
      </c>
      <c r="G205" s="50">
        <f t="shared" si="34"/>
        <v>87.8</v>
      </c>
      <c r="H205" s="216" t="e">
        <f t="shared" si="35"/>
        <v>#DIV/0!</v>
      </c>
      <c r="I205" s="88"/>
    </row>
    <row r="206" spans="1:9">
      <c r="A206" s="98"/>
      <c r="B206" s="87" t="s">
        <v>286</v>
      </c>
      <c r="C206" s="99"/>
      <c r="D206" s="104">
        <v>2</v>
      </c>
      <c r="E206" s="408"/>
      <c r="F206" s="104"/>
      <c r="G206" s="50">
        <f t="shared" si="34"/>
        <v>0</v>
      </c>
      <c r="H206" s="216" t="e">
        <f t="shared" si="35"/>
        <v>#DIV/0!</v>
      </c>
      <c r="I206" s="88"/>
    </row>
    <row r="207" spans="1:9">
      <c r="A207" s="98"/>
      <c r="B207" s="87" t="s">
        <v>189</v>
      </c>
      <c r="C207" s="99"/>
      <c r="D207" s="104"/>
      <c r="E207" s="408"/>
      <c r="F207" s="104">
        <v>2.2999999999999998</v>
      </c>
      <c r="G207" s="50">
        <f t="shared" si="34"/>
        <v>2.2999999999999998</v>
      </c>
      <c r="H207" s="216" t="e">
        <f t="shared" si="35"/>
        <v>#DIV/0!</v>
      </c>
      <c r="I207" s="88"/>
    </row>
    <row r="208" spans="1:9">
      <c r="A208" s="98"/>
      <c r="B208" s="87" t="s">
        <v>450</v>
      </c>
      <c r="C208" s="99"/>
      <c r="D208" s="104"/>
      <c r="E208" s="408"/>
      <c r="F208" s="104">
        <v>17.600000000000001</v>
      </c>
      <c r="G208" s="50">
        <f t="shared" si="34"/>
        <v>17.600000000000001</v>
      </c>
      <c r="H208" s="377" t="e">
        <f t="shared" si="35"/>
        <v>#DIV/0!</v>
      </c>
      <c r="I208" s="88"/>
    </row>
    <row r="209" spans="1:9">
      <c r="A209" s="98"/>
      <c r="B209" s="87" t="s">
        <v>395</v>
      </c>
      <c r="C209" s="99"/>
      <c r="D209" s="104"/>
      <c r="E209" s="408"/>
      <c r="F209" s="104">
        <v>0.2</v>
      </c>
      <c r="G209" s="50">
        <f t="shared" si="34"/>
        <v>0.2</v>
      </c>
      <c r="H209" s="377" t="e">
        <f t="shared" si="35"/>
        <v>#DIV/0!</v>
      </c>
      <c r="I209" s="88"/>
    </row>
    <row r="210" spans="1:9" ht="19.5">
      <c r="A210" s="102" t="s">
        <v>411</v>
      </c>
      <c r="B210" s="78" t="s">
        <v>128</v>
      </c>
      <c r="C210" s="97">
        <v>1020</v>
      </c>
      <c r="D210" s="227">
        <f>D211</f>
        <v>0.6</v>
      </c>
      <c r="E210" s="227">
        <f>SUM(E213)</f>
        <v>0</v>
      </c>
      <c r="F210" s="227">
        <f>F211+F213</f>
        <v>0</v>
      </c>
      <c r="G210" s="47">
        <f t="shared" si="34"/>
        <v>0</v>
      </c>
      <c r="H210" s="378" t="e">
        <f t="shared" si="35"/>
        <v>#DIV/0!</v>
      </c>
      <c r="I210" s="88"/>
    </row>
    <row r="211" spans="1:9" ht="19.5">
      <c r="A211" s="102" t="s">
        <v>454</v>
      </c>
      <c r="B211" s="82" t="s">
        <v>188</v>
      </c>
      <c r="C211" s="83">
        <v>1021</v>
      </c>
      <c r="D211" s="406">
        <f>D212</f>
        <v>0.6</v>
      </c>
      <c r="E211" s="227"/>
      <c r="F211" s="227">
        <f>F212</f>
        <v>0</v>
      </c>
      <c r="G211" s="47">
        <f t="shared" si="34"/>
        <v>0</v>
      </c>
      <c r="H211" s="378" t="e">
        <f t="shared" si="35"/>
        <v>#DIV/0!</v>
      </c>
      <c r="I211" s="88"/>
    </row>
    <row r="212" spans="1:9" ht="19.5">
      <c r="A212" s="102"/>
      <c r="B212" s="87" t="s">
        <v>195</v>
      </c>
      <c r="C212" s="83"/>
      <c r="D212" s="228">
        <v>0.6</v>
      </c>
      <c r="E212" s="227"/>
      <c r="F212" s="330"/>
      <c r="G212" s="50">
        <f t="shared" si="34"/>
        <v>0</v>
      </c>
      <c r="H212" s="378" t="e">
        <f t="shared" si="35"/>
        <v>#DIV/0!</v>
      </c>
      <c r="I212" s="88"/>
    </row>
    <row r="213" spans="1:9">
      <c r="A213" s="98" t="s">
        <v>455</v>
      </c>
      <c r="B213" s="438" t="s">
        <v>4</v>
      </c>
      <c r="C213" s="45">
        <v>1024</v>
      </c>
      <c r="D213" s="406"/>
      <c r="E213" s="408"/>
      <c r="F213" s="106"/>
      <c r="G213" s="47">
        <f t="shared" si="34"/>
        <v>0</v>
      </c>
      <c r="H213" s="377" t="e">
        <f t="shared" si="35"/>
        <v>#DIV/0!</v>
      </c>
      <c r="I213" s="88"/>
    </row>
    <row r="214" spans="1:9" ht="19.5">
      <c r="A214" s="102" t="s">
        <v>456</v>
      </c>
      <c r="B214" s="92" t="s">
        <v>129</v>
      </c>
      <c r="C214" s="107">
        <v>1030</v>
      </c>
      <c r="D214" s="105">
        <f>SUM(D215,)</f>
        <v>2.2999999999999998</v>
      </c>
      <c r="E214" s="227">
        <f t="shared" ref="E214:F214" si="38">SUM(E215)</f>
        <v>0</v>
      </c>
      <c r="F214" s="105">
        <f t="shared" si="38"/>
        <v>0</v>
      </c>
      <c r="G214" s="105">
        <f t="shared" si="34"/>
        <v>0</v>
      </c>
      <c r="H214" s="378" t="e">
        <f t="shared" si="35"/>
        <v>#DIV/0!</v>
      </c>
      <c r="I214" s="88"/>
    </row>
    <row r="215" spans="1:9">
      <c r="A215" s="98" t="s">
        <v>457</v>
      </c>
      <c r="B215" s="82" t="s">
        <v>188</v>
      </c>
      <c r="C215" s="108">
        <v>1031</v>
      </c>
      <c r="D215" s="106">
        <f>D216</f>
        <v>2.2999999999999998</v>
      </c>
      <c r="E215" s="106">
        <f t="shared" ref="E215:F215" si="39">E216</f>
        <v>0</v>
      </c>
      <c r="F215" s="106">
        <f t="shared" si="39"/>
        <v>0</v>
      </c>
      <c r="G215" s="106">
        <f t="shared" si="34"/>
        <v>0</v>
      </c>
      <c r="H215" s="377" t="e">
        <f t="shared" si="35"/>
        <v>#DIV/0!</v>
      </c>
      <c r="I215" s="88"/>
    </row>
    <row r="216" spans="1:9">
      <c r="A216" s="100"/>
      <c r="B216" s="67" t="s">
        <v>285</v>
      </c>
      <c r="C216" s="99"/>
      <c r="D216" s="104">
        <v>2.2999999999999998</v>
      </c>
      <c r="E216" s="408"/>
      <c r="F216" s="104"/>
      <c r="G216" s="50">
        <f t="shared" si="34"/>
        <v>0</v>
      </c>
      <c r="H216" s="377" t="e">
        <f t="shared" si="35"/>
        <v>#DIV/0!</v>
      </c>
      <c r="I216" s="88"/>
    </row>
    <row r="217" spans="1:9" hidden="1">
      <c r="A217" s="100"/>
      <c r="B217" s="87" t="s">
        <v>395</v>
      </c>
      <c r="C217" s="99"/>
      <c r="D217" s="104"/>
      <c r="E217" s="408"/>
      <c r="F217" s="216"/>
      <c r="G217" s="47">
        <f t="shared" si="34"/>
        <v>0</v>
      </c>
      <c r="H217" s="377" t="e">
        <f t="shared" si="35"/>
        <v>#DIV/0!</v>
      </c>
      <c r="I217" s="88"/>
    </row>
    <row r="218" spans="1:9" hidden="1">
      <c r="A218" s="100"/>
      <c r="B218" s="87"/>
      <c r="C218" s="99"/>
      <c r="D218" s="104"/>
      <c r="E218" s="408"/>
      <c r="F218" s="50"/>
      <c r="G218" s="50">
        <f t="shared" si="34"/>
        <v>0</v>
      </c>
      <c r="H218" s="377" t="e">
        <f t="shared" si="35"/>
        <v>#DIV/0!</v>
      </c>
      <c r="I218" s="88"/>
    </row>
    <row r="219" spans="1:9" ht="39">
      <c r="A219" s="414" t="s">
        <v>291</v>
      </c>
      <c r="B219" s="456" t="s">
        <v>507</v>
      </c>
      <c r="C219" s="362"/>
      <c r="D219" s="359">
        <f>D221</f>
        <v>155.19999999999999</v>
      </c>
      <c r="E219" s="459">
        <f>E221</f>
        <v>271.2</v>
      </c>
      <c r="F219" s="359">
        <f>F221</f>
        <v>0</v>
      </c>
      <c r="G219" s="346">
        <f t="shared" si="34"/>
        <v>-271.2</v>
      </c>
      <c r="H219" s="455">
        <f t="shared" si="35"/>
        <v>0</v>
      </c>
      <c r="I219" s="88"/>
    </row>
    <row r="220" spans="1:9">
      <c r="A220" s="416"/>
      <c r="B220" s="436" t="s">
        <v>122</v>
      </c>
      <c r="C220" s="312"/>
      <c r="D220" s="106"/>
      <c r="E220" s="409"/>
      <c r="F220" s="106"/>
      <c r="G220" s="47">
        <f t="shared" si="34"/>
        <v>0</v>
      </c>
      <c r="H220" s="377" t="e">
        <f t="shared" si="35"/>
        <v>#DIV/0!</v>
      </c>
      <c r="I220" s="88"/>
    </row>
    <row r="221" spans="1:9" ht="22.5" customHeight="1">
      <c r="A221" s="102" t="s">
        <v>292</v>
      </c>
      <c r="B221" s="78" t="s">
        <v>126</v>
      </c>
      <c r="C221" s="107">
        <v>1010</v>
      </c>
      <c r="D221" s="105">
        <f>D222+D223</f>
        <v>155.19999999999999</v>
      </c>
      <c r="E221" s="407">
        <f>E222+E223</f>
        <v>271.2</v>
      </c>
      <c r="F221" s="105">
        <f>F222+F223</f>
        <v>0</v>
      </c>
      <c r="G221" s="80">
        <f t="shared" si="34"/>
        <v>-271.2</v>
      </c>
      <c r="H221" s="227">
        <f t="shared" si="35"/>
        <v>0</v>
      </c>
      <c r="I221" s="88"/>
    </row>
    <row r="222" spans="1:9" ht="23.25" customHeight="1">
      <c r="A222" s="98" t="s">
        <v>458</v>
      </c>
      <c r="B222" s="90" t="s">
        <v>2</v>
      </c>
      <c r="C222" s="83">
        <v>1012</v>
      </c>
      <c r="D222" s="106">
        <v>134</v>
      </c>
      <c r="E222" s="409">
        <v>234</v>
      </c>
      <c r="F222" s="106"/>
      <c r="G222" s="47">
        <f t="shared" si="34"/>
        <v>-234</v>
      </c>
      <c r="H222" s="406">
        <f t="shared" si="35"/>
        <v>0</v>
      </c>
      <c r="I222" s="88"/>
    </row>
    <row r="223" spans="1:9" ht="25.5" customHeight="1">
      <c r="A223" s="98" t="s">
        <v>459</v>
      </c>
      <c r="B223" s="90" t="s">
        <v>3</v>
      </c>
      <c r="C223" s="83">
        <v>1013</v>
      </c>
      <c r="D223" s="106">
        <v>21.2</v>
      </c>
      <c r="E223" s="409">
        <v>37.200000000000003</v>
      </c>
      <c r="F223" s="106"/>
      <c r="G223" s="47">
        <f t="shared" si="34"/>
        <v>-37.200000000000003</v>
      </c>
      <c r="H223" s="406">
        <f t="shared" si="35"/>
        <v>0</v>
      </c>
      <c r="I223" s="88"/>
    </row>
    <row r="224" spans="1:9" ht="30" customHeight="1">
      <c r="A224" s="414" t="s">
        <v>460</v>
      </c>
      <c r="B224" s="450" t="s">
        <v>152</v>
      </c>
      <c r="C224" s="445"/>
      <c r="D224" s="359">
        <f>D226+D231</f>
        <v>25.8</v>
      </c>
      <c r="E224" s="459">
        <f>E232</f>
        <v>0.8</v>
      </c>
      <c r="F224" s="359">
        <f>F231+F226</f>
        <v>103.89999999999999</v>
      </c>
      <c r="G224" s="346">
        <f t="shared" si="34"/>
        <v>103.1</v>
      </c>
      <c r="H224" s="442">
        <f t="shared" si="35"/>
        <v>12987.499999999996</v>
      </c>
      <c r="I224" s="261"/>
    </row>
    <row r="225" spans="1:9" ht="20.25" customHeight="1">
      <c r="A225" s="416"/>
      <c r="B225" s="437" t="s">
        <v>122</v>
      </c>
      <c r="C225" s="367"/>
      <c r="D225" s="106"/>
      <c r="E225" s="409"/>
      <c r="F225" s="106"/>
      <c r="G225" s="47"/>
      <c r="H225" s="406"/>
      <c r="I225" s="261"/>
    </row>
    <row r="226" spans="1:9" ht="23.25" customHeight="1">
      <c r="A226" s="98" t="s">
        <v>461</v>
      </c>
      <c r="B226" s="78" t="s">
        <v>126</v>
      </c>
      <c r="C226" s="79">
        <v>1010</v>
      </c>
      <c r="D226" s="106">
        <f>D227</f>
        <v>3.2</v>
      </c>
      <c r="E226" s="409"/>
      <c r="F226" s="106">
        <f>F227+F229</f>
        <v>0.7</v>
      </c>
      <c r="G226" s="47">
        <f t="shared" si="34"/>
        <v>0.7</v>
      </c>
      <c r="H226" s="377" t="e">
        <f t="shared" si="35"/>
        <v>#DIV/0!</v>
      </c>
      <c r="I226" s="261"/>
    </row>
    <row r="227" spans="1:9" ht="23.25" customHeight="1">
      <c r="A227" s="98" t="s">
        <v>462</v>
      </c>
      <c r="B227" s="82" t="s">
        <v>188</v>
      </c>
      <c r="C227" s="83">
        <v>1011</v>
      </c>
      <c r="D227" s="106">
        <f>D228</f>
        <v>3.2</v>
      </c>
      <c r="E227" s="409"/>
      <c r="F227" s="106">
        <f>F228</f>
        <v>0</v>
      </c>
      <c r="G227" s="47">
        <f t="shared" si="34"/>
        <v>0</v>
      </c>
      <c r="H227" s="377" t="e">
        <f t="shared" si="35"/>
        <v>#DIV/0!</v>
      </c>
      <c r="I227" s="261"/>
    </row>
    <row r="228" spans="1:9" ht="23.25" customHeight="1">
      <c r="A228" s="98"/>
      <c r="B228" s="87" t="s">
        <v>286</v>
      </c>
      <c r="C228" s="83"/>
      <c r="D228" s="104">
        <v>3.2</v>
      </c>
      <c r="E228" s="409"/>
      <c r="F228" s="104"/>
      <c r="G228" s="47">
        <f t="shared" si="34"/>
        <v>0</v>
      </c>
      <c r="H228" s="377" t="e">
        <f t="shared" si="35"/>
        <v>#DIV/0!</v>
      </c>
      <c r="I228" s="261"/>
    </row>
    <row r="229" spans="1:9" ht="23.25" customHeight="1">
      <c r="A229" s="98" t="s">
        <v>500</v>
      </c>
      <c r="B229" s="90" t="s">
        <v>339</v>
      </c>
      <c r="C229" s="83">
        <v>1015</v>
      </c>
      <c r="D229" s="104"/>
      <c r="E229" s="409"/>
      <c r="F229" s="106">
        <f>F230</f>
        <v>0.7</v>
      </c>
      <c r="G229" s="47">
        <f t="shared" si="34"/>
        <v>0.7</v>
      </c>
      <c r="H229" s="377" t="e">
        <f t="shared" si="35"/>
        <v>#DIV/0!</v>
      </c>
      <c r="I229" s="261"/>
    </row>
    <row r="230" spans="1:9" ht="23.25" customHeight="1">
      <c r="A230" s="98"/>
      <c r="B230" s="87" t="s">
        <v>510</v>
      </c>
      <c r="C230" s="83"/>
      <c r="D230" s="104"/>
      <c r="E230" s="409"/>
      <c r="F230" s="104">
        <v>0.7</v>
      </c>
      <c r="G230" s="47">
        <f t="shared" si="34"/>
        <v>0.7</v>
      </c>
      <c r="H230" s="377" t="e">
        <f t="shared" si="35"/>
        <v>#DIV/0!</v>
      </c>
      <c r="I230" s="261"/>
    </row>
    <row r="231" spans="1:9" ht="26.25" customHeight="1">
      <c r="A231" s="102" t="s">
        <v>463</v>
      </c>
      <c r="B231" s="92" t="s">
        <v>129</v>
      </c>
      <c r="C231" s="107">
        <v>1030</v>
      </c>
      <c r="D231" s="105">
        <f>SUM(D232)</f>
        <v>22.6</v>
      </c>
      <c r="E231" s="227">
        <f t="shared" ref="E231:F231" si="40">SUM(E232)</f>
        <v>0.8</v>
      </c>
      <c r="F231" s="105">
        <f t="shared" si="40"/>
        <v>103.19999999999999</v>
      </c>
      <c r="G231" s="80">
        <f t="shared" si="34"/>
        <v>102.39999999999999</v>
      </c>
      <c r="H231" s="227">
        <f t="shared" si="35"/>
        <v>12899.999999999996</v>
      </c>
      <c r="I231" s="88"/>
    </row>
    <row r="232" spans="1:9" ht="25.5" customHeight="1">
      <c r="A232" s="98" t="s">
        <v>464</v>
      </c>
      <c r="B232" s="90" t="s">
        <v>129</v>
      </c>
      <c r="C232" s="108">
        <v>1035</v>
      </c>
      <c r="D232" s="106">
        <f>SUM(D233:D235)</f>
        <v>22.6</v>
      </c>
      <c r="E232" s="406">
        <f>SUM(E234)</f>
        <v>0.8</v>
      </c>
      <c r="F232" s="106">
        <f>SUM(F233:F235)</f>
        <v>103.19999999999999</v>
      </c>
      <c r="G232" s="47">
        <f t="shared" si="34"/>
        <v>102.39999999999999</v>
      </c>
      <c r="H232" s="406">
        <f t="shared" si="35"/>
        <v>12899.999999999996</v>
      </c>
      <c r="I232" s="88"/>
    </row>
    <row r="233" spans="1:9" ht="21.75" customHeight="1">
      <c r="A233" s="98"/>
      <c r="B233" s="87" t="s">
        <v>71</v>
      </c>
      <c r="C233" s="108"/>
      <c r="D233" s="104"/>
      <c r="E233" s="406"/>
      <c r="F233" s="104">
        <v>74.7</v>
      </c>
      <c r="G233" s="47">
        <f t="shared" si="34"/>
        <v>74.7</v>
      </c>
      <c r="H233" s="216" t="e">
        <f t="shared" si="35"/>
        <v>#DIV/0!</v>
      </c>
      <c r="I233" s="88"/>
    </row>
    <row r="234" spans="1:9" ht="23.25" customHeight="1">
      <c r="A234" s="98"/>
      <c r="B234" s="89" t="s">
        <v>228</v>
      </c>
      <c r="C234" s="83"/>
      <c r="D234" s="104">
        <v>1.3</v>
      </c>
      <c r="E234" s="408">
        <v>0.8</v>
      </c>
      <c r="F234" s="104">
        <v>1.1000000000000001</v>
      </c>
      <c r="G234" s="50">
        <f t="shared" si="34"/>
        <v>0.30000000000000004</v>
      </c>
      <c r="H234" s="228">
        <f t="shared" si="35"/>
        <v>137.5</v>
      </c>
      <c r="I234" s="88"/>
    </row>
    <row r="235" spans="1:9" ht="25.5" customHeight="1">
      <c r="A235" s="98"/>
      <c r="B235" s="89" t="s">
        <v>408</v>
      </c>
      <c r="C235" s="83"/>
      <c r="D235" s="104">
        <v>21.3</v>
      </c>
      <c r="E235" s="408"/>
      <c r="F235" s="104">
        <v>27.4</v>
      </c>
      <c r="G235" s="50">
        <f t="shared" si="34"/>
        <v>27.4</v>
      </c>
      <c r="H235" s="216" t="e">
        <f t="shared" si="35"/>
        <v>#DIV/0!</v>
      </c>
      <c r="I235" s="88"/>
    </row>
    <row r="236" spans="1:9" ht="24.75" customHeight="1">
      <c r="A236" s="414" t="s">
        <v>465</v>
      </c>
      <c r="B236" s="454" t="s">
        <v>356</v>
      </c>
      <c r="C236" s="457"/>
      <c r="D236" s="358"/>
      <c r="E236" s="361"/>
      <c r="F236" s="359">
        <f>F238</f>
        <v>675.3</v>
      </c>
      <c r="G236" s="346">
        <f t="shared" si="34"/>
        <v>675.3</v>
      </c>
      <c r="H236" s="348" t="e">
        <f t="shared" si="35"/>
        <v>#DIV/0!</v>
      </c>
      <c r="I236" s="88"/>
    </row>
    <row r="237" spans="1:9">
      <c r="A237" s="100"/>
      <c r="B237" s="434" t="s">
        <v>122</v>
      </c>
      <c r="C237" s="99"/>
      <c r="D237" s="104"/>
      <c r="E237" s="408"/>
      <c r="F237" s="104"/>
      <c r="G237" s="50"/>
      <c r="H237" s="216"/>
      <c r="I237" s="88"/>
    </row>
    <row r="238" spans="1:9" ht="24.75" customHeight="1">
      <c r="A238" s="102" t="s">
        <v>466</v>
      </c>
      <c r="B238" s="207" t="s">
        <v>126</v>
      </c>
      <c r="C238" s="107">
        <v>1010</v>
      </c>
      <c r="D238" s="104"/>
      <c r="E238" s="408"/>
      <c r="F238" s="105">
        <f>F239</f>
        <v>675.3</v>
      </c>
      <c r="G238" s="80">
        <f t="shared" si="34"/>
        <v>675.3</v>
      </c>
      <c r="H238" s="216" t="e">
        <f t="shared" si="35"/>
        <v>#DIV/0!</v>
      </c>
      <c r="I238" s="88"/>
    </row>
    <row r="239" spans="1:9" ht="27.75" customHeight="1">
      <c r="A239" s="98" t="s">
        <v>467</v>
      </c>
      <c r="B239" s="96" t="s">
        <v>340</v>
      </c>
      <c r="C239" s="108">
        <v>1014</v>
      </c>
      <c r="D239" s="104"/>
      <c r="E239" s="408"/>
      <c r="F239" s="106">
        <v>675.3</v>
      </c>
      <c r="G239" s="47">
        <f t="shared" si="34"/>
        <v>675.3</v>
      </c>
      <c r="H239" s="216" t="e">
        <f t="shared" si="35"/>
        <v>#DIV/0!</v>
      </c>
      <c r="I239" s="88"/>
    </row>
    <row r="240" spans="1:9" ht="23.25" customHeight="1">
      <c r="A240" s="414" t="s">
        <v>468</v>
      </c>
      <c r="B240" s="454" t="s">
        <v>356</v>
      </c>
      <c r="C240" s="457"/>
      <c r="D240" s="359">
        <f>SUM(D242,D244)</f>
        <v>536.6</v>
      </c>
      <c r="E240" s="442">
        <f t="shared" ref="E240:F240" si="41">SUM(E242,E244)</f>
        <v>419.6</v>
      </c>
      <c r="F240" s="359">
        <f t="shared" si="41"/>
        <v>444.99999999999994</v>
      </c>
      <c r="G240" s="346">
        <f t="shared" si="34"/>
        <v>25.39999999999992</v>
      </c>
      <c r="H240" s="442">
        <f t="shared" si="35"/>
        <v>106.05338417540513</v>
      </c>
      <c r="I240" s="88"/>
    </row>
    <row r="241" spans="1:9" ht="24" customHeight="1">
      <c r="A241" s="100"/>
      <c r="B241" s="434" t="s">
        <v>122</v>
      </c>
      <c r="C241" s="99"/>
      <c r="D241" s="104"/>
      <c r="E241" s="228"/>
      <c r="F241" s="104"/>
      <c r="G241" s="47"/>
      <c r="H241" s="406"/>
      <c r="I241" s="88"/>
    </row>
    <row r="242" spans="1:9" ht="24" customHeight="1">
      <c r="A242" s="102" t="s">
        <v>469</v>
      </c>
      <c r="B242" s="207" t="s">
        <v>126</v>
      </c>
      <c r="C242" s="107">
        <v>1010</v>
      </c>
      <c r="D242" s="105">
        <f>D243</f>
        <v>517</v>
      </c>
      <c r="E242" s="227">
        <f>E243</f>
        <v>400</v>
      </c>
      <c r="F242" s="105">
        <f>F243</f>
        <v>425.59999999999997</v>
      </c>
      <c r="G242" s="80">
        <f t="shared" si="34"/>
        <v>25.599999999999966</v>
      </c>
      <c r="H242" s="227">
        <f t="shared" si="35"/>
        <v>106.39999999999998</v>
      </c>
      <c r="I242" s="88"/>
    </row>
    <row r="243" spans="1:9" ht="27.75" customHeight="1">
      <c r="A243" s="98" t="s">
        <v>470</v>
      </c>
      <c r="B243" s="96" t="s">
        <v>340</v>
      </c>
      <c r="C243" s="108">
        <v>1014</v>
      </c>
      <c r="D243" s="106">
        <v>517</v>
      </c>
      <c r="E243" s="406">
        <v>400</v>
      </c>
      <c r="F243" s="106">
        <f>403.7+21.9</f>
        <v>425.59999999999997</v>
      </c>
      <c r="G243" s="47">
        <f t="shared" si="34"/>
        <v>25.599999999999966</v>
      </c>
      <c r="H243" s="406">
        <f t="shared" si="35"/>
        <v>106.39999999999998</v>
      </c>
      <c r="I243" s="88"/>
    </row>
    <row r="244" spans="1:9" ht="24.75" customHeight="1">
      <c r="A244" s="102" t="s">
        <v>471</v>
      </c>
      <c r="B244" s="112" t="s">
        <v>129</v>
      </c>
      <c r="C244" s="107">
        <v>1030</v>
      </c>
      <c r="D244" s="105">
        <v>19.600000000000001</v>
      </c>
      <c r="E244" s="227">
        <f>E245</f>
        <v>19.600000000000001</v>
      </c>
      <c r="F244" s="105">
        <f>F245</f>
        <v>19.399999999999999</v>
      </c>
      <c r="G244" s="47">
        <f t="shared" si="34"/>
        <v>-0.20000000000000284</v>
      </c>
      <c r="H244" s="227">
        <f t="shared" si="35"/>
        <v>98.979591836734684</v>
      </c>
      <c r="I244" s="113"/>
    </row>
    <row r="245" spans="1:9" ht="40.5" customHeight="1">
      <c r="A245" s="98" t="s">
        <v>472</v>
      </c>
      <c r="B245" s="94" t="s">
        <v>293</v>
      </c>
      <c r="C245" s="108">
        <v>1034</v>
      </c>
      <c r="D245" s="106">
        <v>19.600000000000001</v>
      </c>
      <c r="E245" s="406">
        <v>19.600000000000001</v>
      </c>
      <c r="F245" s="106">
        <f>F246</f>
        <v>19.399999999999999</v>
      </c>
      <c r="G245" s="47">
        <f t="shared" si="34"/>
        <v>-0.20000000000000284</v>
      </c>
      <c r="H245" s="406">
        <f t="shared" si="35"/>
        <v>98.979591836734684</v>
      </c>
      <c r="I245" s="88"/>
    </row>
    <row r="246" spans="1:9" ht="26.25" customHeight="1">
      <c r="A246" s="100"/>
      <c r="B246" s="89" t="s">
        <v>294</v>
      </c>
      <c r="C246" s="99"/>
      <c r="D246" s="104">
        <v>19.600000000000001</v>
      </c>
      <c r="E246" s="228">
        <v>19.600000000000001</v>
      </c>
      <c r="F246" s="104">
        <v>19.399999999999999</v>
      </c>
      <c r="G246" s="50">
        <f t="shared" si="34"/>
        <v>-0.20000000000000284</v>
      </c>
      <c r="H246" s="406">
        <f t="shared" si="35"/>
        <v>98.979591836734684</v>
      </c>
      <c r="I246" s="88"/>
    </row>
    <row r="247" spans="1:9" ht="23.25" customHeight="1">
      <c r="A247" s="414" t="s">
        <v>494</v>
      </c>
      <c r="B247" s="450" t="s">
        <v>496</v>
      </c>
      <c r="C247" s="362"/>
      <c r="D247" s="358"/>
      <c r="E247" s="360"/>
      <c r="F247" s="359">
        <f>F249</f>
        <v>126.10000000000001</v>
      </c>
      <c r="G247" s="346">
        <f t="shared" si="34"/>
        <v>126.10000000000001</v>
      </c>
      <c r="H247" s="455" t="e">
        <f t="shared" si="35"/>
        <v>#DIV/0!</v>
      </c>
      <c r="I247" s="88"/>
    </row>
    <row r="248" spans="1:9" ht="24" customHeight="1">
      <c r="A248" s="416"/>
      <c r="B248" s="434" t="s">
        <v>122</v>
      </c>
      <c r="C248" s="312"/>
      <c r="D248" s="104"/>
      <c r="E248" s="228"/>
      <c r="F248" s="106"/>
      <c r="G248" s="50"/>
      <c r="H248" s="377" t="e">
        <f t="shared" si="35"/>
        <v>#DIV/0!</v>
      </c>
      <c r="I248" s="374"/>
    </row>
    <row r="249" spans="1:9" ht="21.75" customHeight="1">
      <c r="A249" s="102" t="s">
        <v>503</v>
      </c>
      <c r="B249" s="78" t="s">
        <v>126</v>
      </c>
      <c r="C249" s="107">
        <v>1010</v>
      </c>
      <c r="D249" s="105"/>
      <c r="E249" s="227"/>
      <c r="F249" s="105">
        <f>F250+F251</f>
        <v>126.10000000000001</v>
      </c>
      <c r="G249" s="80">
        <f t="shared" si="34"/>
        <v>126.10000000000001</v>
      </c>
      <c r="H249" s="378" t="e">
        <f t="shared" si="35"/>
        <v>#DIV/0!</v>
      </c>
      <c r="I249" s="88"/>
    </row>
    <row r="250" spans="1:9" ht="25.5" customHeight="1">
      <c r="A250" s="98" t="s">
        <v>504</v>
      </c>
      <c r="B250" s="90" t="s">
        <v>2</v>
      </c>
      <c r="C250" s="108">
        <v>1012</v>
      </c>
      <c r="D250" s="104"/>
      <c r="E250" s="228"/>
      <c r="F250" s="104">
        <v>103.4</v>
      </c>
      <c r="G250" s="50">
        <f t="shared" si="34"/>
        <v>103.4</v>
      </c>
      <c r="H250" s="377" t="e">
        <f t="shared" si="35"/>
        <v>#DIV/0!</v>
      </c>
      <c r="I250" s="88"/>
    </row>
    <row r="251" spans="1:9" ht="24" customHeight="1">
      <c r="A251" s="98" t="s">
        <v>505</v>
      </c>
      <c r="B251" s="90" t="s">
        <v>3</v>
      </c>
      <c r="C251" s="108">
        <v>1013</v>
      </c>
      <c r="D251" s="104"/>
      <c r="E251" s="228"/>
      <c r="F251" s="104">
        <v>22.7</v>
      </c>
      <c r="G251" s="50">
        <f t="shared" si="34"/>
        <v>22.7</v>
      </c>
      <c r="H251" s="377" t="e">
        <f t="shared" si="35"/>
        <v>#DIV/0!</v>
      </c>
      <c r="I251" s="88"/>
    </row>
    <row r="252" spans="1:9" ht="27" customHeight="1">
      <c r="A252" s="414" t="s">
        <v>495</v>
      </c>
      <c r="B252" s="460" t="s">
        <v>497</v>
      </c>
      <c r="C252" s="415"/>
      <c r="D252" s="358"/>
      <c r="E252" s="360"/>
      <c r="F252" s="359">
        <f>F254</f>
        <v>14.9</v>
      </c>
      <c r="G252" s="346">
        <f t="shared" si="34"/>
        <v>14.9</v>
      </c>
      <c r="H252" s="455" t="e">
        <f t="shared" si="35"/>
        <v>#DIV/0!</v>
      </c>
      <c r="I252" s="88"/>
    </row>
    <row r="253" spans="1:9" ht="21.75" customHeight="1">
      <c r="A253" s="100"/>
      <c r="B253" s="434" t="s">
        <v>122</v>
      </c>
      <c r="C253" s="108"/>
      <c r="D253" s="104"/>
      <c r="E253" s="228"/>
      <c r="F253" s="104"/>
      <c r="G253" s="47"/>
      <c r="H253" s="377" t="e">
        <f t="shared" si="35"/>
        <v>#DIV/0!</v>
      </c>
      <c r="I253" s="88"/>
    </row>
    <row r="254" spans="1:9" ht="22.5" customHeight="1">
      <c r="A254" s="102" t="s">
        <v>508</v>
      </c>
      <c r="B254" s="92" t="s">
        <v>129</v>
      </c>
      <c r="C254" s="107">
        <v>1030</v>
      </c>
      <c r="D254" s="105"/>
      <c r="E254" s="227"/>
      <c r="F254" s="105">
        <f>F255</f>
        <v>14.9</v>
      </c>
      <c r="G254" s="80">
        <f t="shared" ref="G254:G256" si="42">F254-E254</f>
        <v>14.9</v>
      </c>
      <c r="H254" s="378" t="e">
        <f t="shared" ref="H254:H256" si="43">(F254/E254)*100</f>
        <v>#DIV/0!</v>
      </c>
      <c r="I254" s="88"/>
    </row>
    <row r="255" spans="1:9" ht="26.25" customHeight="1">
      <c r="A255" s="102" t="s">
        <v>509</v>
      </c>
      <c r="B255" s="91" t="s">
        <v>188</v>
      </c>
      <c r="C255" s="79">
        <v>1031</v>
      </c>
      <c r="D255" s="105"/>
      <c r="E255" s="227"/>
      <c r="F255" s="105">
        <f>F256</f>
        <v>14.9</v>
      </c>
      <c r="G255" s="80">
        <f t="shared" si="42"/>
        <v>14.9</v>
      </c>
      <c r="H255" s="378" t="e">
        <f t="shared" si="43"/>
        <v>#DIV/0!</v>
      </c>
      <c r="I255" s="88"/>
    </row>
    <row r="256" spans="1:9" ht="26.25" customHeight="1">
      <c r="A256" s="100"/>
      <c r="B256" s="89" t="s">
        <v>498</v>
      </c>
      <c r="C256" s="99"/>
      <c r="D256" s="104"/>
      <c r="E256" s="228"/>
      <c r="F256" s="104">
        <v>14.9</v>
      </c>
      <c r="G256" s="50">
        <f t="shared" si="42"/>
        <v>14.9</v>
      </c>
      <c r="H256" s="377" t="e">
        <f t="shared" si="43"/>
        <v>#DIV/0!</v>
      </c>
      <c r="I256" s="88"/>
    </row>
    <row r="257" spans="1:9">
      <c r="A257" s="390"/>
      <c r="B257" s="391"/>
      <c r="C257" s="269"/>
      <c r="D257" s="381"/>
      <c r="E257" s="410"/>
      <c r="F257" s="381"/>
      <c r="G257" s="399"/>
      <c r="H257" s="411"/>
      <c r="I257" s="88"/>
    </row>
    <row r="258" spans="1:9">
      <c r="A258" s="88"/>
      <c r="B258" s="114"/>
      <c r="C258" s="115"/>
      <c r="D258" s="412"/>
      <c r="E258" s="413"/>
      <c r="F258" s="116"/>
      <c r="G258" s="116"/>
      <c r="H258" s="116"/>
      <c r="I258" s="88"/>
    </row>
    <row r="259" spans="1:9" ht="19.5">
      <c r="A259" s="88"/>
      <c r="B259" s="131" t="s">
        <v>295</v>
      </c>
      <c r="C259" s="461"/>
      <c r="D259" s="510"/>
      <c r="E259" s="511"/>
      <c r="F259" s="462"/>
      <c r="G259" s="512" t="s">
        <v>420</v>
      </c>
      <c r="H259" s="512"/>
      <c r="I259" s="463"/>
    </row>
    <row r="260" spans="1:9">
      <c r="A260" s="88"/>
      <c r="B260" s="440" t="s">
        <v>12</v>
      </c>
      <c r="C260" s="123"/>
      <c r="D260" s="513" t="s">
        <v>13</v>
      </c>
      <c r="E260" s="513"/>
      <c r="F260" s="464"/>
      <c r="G260" s="516" t="s">
        <v>357</v>
      </c>
      <c r="H260" s="516"/>
      <c r="I260" s="465"/>
    </row>
    <row r="261" spans="1:9">
      <c r="A261" s="88"/>
      <c r="B261" s="114"/>
      <c r="C261" s="115"/>
      <c r="D261" s="412"/>
      <c r="E261" s="116"/>
      <c r="F261" s="116"/>
      <c r="G261" s="116"/>
      <c r="H261" s="116"/>
      <c r="I261" s="88"/>
    </row>
    <row r="262" spans="1:9">
      <c r="B262" s="38"/>
    </row>
    <row r="263" spans="1:9">
      <c r="B263" s="38"/>
    </row>
    <row r="264" spans="1:9">
      <c r="B264" s="38"/>
    </row>
    <row r="265" spans="1:9">
      <c r="B265" s="38"/>
    </row>
    <row r="266" spans="1:9">
      <c r="B266" s="38"/>
    </row>
    <row r="267" spans="1:9">
      <c r="B267" s="38"/>
    </row>
    <row r="268" spans="1:9">
      <c r="B268" s="38"/>
    </row>
    <row r="269" spans="1:9">
      <c r="B269" s="38"/>
    </row>
    <row r="270" spans="1:9">
      <c r="B270" s="38"/>
    </row>
    <row r="271" spans="1:9">
      <c r="B271" s="38"/>
    </row>
    <row r="272" spans="1:9">
      <c r="B272" s="38"/>
    </row>
    <row r="273" spans="2:2">
      <c r="B273" s="38"/>
    </row>
    <row r="274" spans="2:2">
      <c r="B274" s="38"/>
    </row>
    <row r="275" spans="2:2">
      <c r="B275" s="38"/>
    </row>
    <row r="276" spans="2:2">
      <c r="B276" s="38"/>
    </row>
    <row r="277" spans="2:2">
      <c r="B277" s="38"/>
    </row>
    <row r="278" spans="2:2">
      <c r="B278" s="38"/>
    </row>
    <row r="279" spans="2:2">
      <c r="B279" s="38"/>
    </row>
    <row r="280" spans="2:2">
      <c r="B280" s="38"/>
    </row>
    <row r="281" spans="2:2">
      <c r="B281" s="38"/>
    </row>
    <row r="282" spans="2:2">
      <c r="B282" s="38"/>
    </row>
    <row r="283" spans="2:2">
      <c r="B283" s="38"/>
    </row>
  </sheetData>
  <mergeCells count="6">
    <mergeCell ref="D259:E259"/>
    <mergeCell ref="G259:H259"/>
    <mergeCell ref="D260:E260"/>
    <mergeCell ref="B1:H1"/>
    <mergeCell ref="A5:B5"/>
    <mergeCell ref="G260:H260"/>
  </mergeCells>
  <pageMargins left="0.39370078740157483" right="0.39370078740157483" top="0.78740157480314965" bottom="0.39370078740157483" header="0.31496062992125984" footer="0.31496062992125984"/>
  <pageSetup paperSize="9" scale="67" fitToHeight="9" orientation="landscape" r:id="rId1"/>
  <rowBreaks count="1" manualBreakCount="1">
    <brk id="17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L68"/>
  <sheetViews>
    <sheetView view="pageBreakPreview" zoomScale="70" zoomScaleNormal="80" zoomScaleSheetLayoutView="70" workbookViewId="0">
      <selection activeCell="C9" sqref="C9"/>
    </sheetView>
  </sheetViews>
  <sheetFormatPr defaultRowHeight="12.75"/>
  <cols>
    <col min="1" max="1" width="71.28515625" customWidth="1"/>
    <col min="2" max="2" width="12" customWidth="1"/>
    <col min="3" max="3" width="16.140625" style="318" customWidth="1"/>
    <col min="4" max="4" width="16.7109375" style="318" customWidth="1"/>
    <col min="5" max="5" width="16.140625" style="318" customWidth="1"/>
    <col min="6" max="6" width="16" customWidth="1"/>
    <col min="7" max="7" width="16.42578125" customWidth="1"/>
    <col min="12" max="12" width="11.5703125" bestFit="1" customWidth="1"/>
    <col min="257" max="257" width="66.5703125" customWidth="1"/>
    <col min="258" max="258" width="12" customWidth="1"/>
    <col min="259" max="259" width="16.140625" customWidth="1"/>
    <col min="260" max="260" width="16.7109375" customWidth="1"/>
    <col min="261" max="261" width="16.140625" customWidth="1"/>
    <col min="262" max="262" width="16" customWidth="1"/>
    <col min="263" max="263" width="16.42578125" customWidth="1"/>
    <col min="513" max="513" width="66.5703125" customWidth="1"/>
    <col min="514" max="514" width="12" customWidth="1"/>
    <col min="515" max="515" width="16.140625" customWidth="1"/>
    <col min="516" max="516" width="16.7109375" customWidth="1"/>
    <col min="517" max="517" width="16.140625" customWidth="1"/>
    <col min="518" max="518" width="16" customWidth="1"/>
    <col min="519" max="519" width="16.42578125" customWidth="1"/>
    <col min="769" max="769" width="66.5703125" customWidth="1"/>
    <col min="770" max="770" width="12" customWidth="1"/>
    <col min="771" max="771" width="16.140625" customWidth="1"/>
    <col min="772" max="772" width="16.7109375" customWidth="1"/>
    <col min="773" max="773" width="16.140625" customWidth="1"/>
    <col min="774" max="774" width="16" customWidth="1"/>
    <col min="775" max="775" width="16.42578125" customWidth="1"/>
    <col min="1025" max="1025" width="66.5703125" customWidth="1"/>
    <col min="1026" max="1026" width="12" customWidth="1"/>
    <col min="1027" max="1027" width="16.140625" customWidth="1"/>
    <col min="1028" max="1028" width="16.7109375" customWidth="1"/>
    <col min="1029" max="1029" width="16.140625" customWidth="1"/>
    <col min="1030" max="1030" width="16" customWidth="1"/>
    <col min="1031" max="1031" width="16.42578125" customWidth="1"/>
    <col min="1281" max="1281" width="66.5703125" customWidth="1"/>
    <col min="1282" max="1282" width="12" customWidth="1"/>
    <col min="1283" max="1283" width="16.140625" customWidth="1"/>
    <col min="1284" max="1284" width="16.7109375" customWidth="1"/>
    <col min="1285" max="1285" width="16.140625" customWidth="1"/>
    <col min="1286" max="1286" width="16" customWidth="1"/>
    <col min="1287" max="1287" width="16.42578125" customWidth="1"/>
    <col min="1537" max="1537" width="66.5703125" customWidth="1"/>
    <col min="1538" max="1538" width="12" customWidth="1"/>
    <col min="1539" max="1539" width="16.140625" customWidth="1"/>
    <col min="1540" max="1540" width="16.7109375" customWidth="1"/>
    <col min="1541" max="1541" width="16.140625" customWidth="1"/>
    <col min="1542" max="1542" width="16" customWidth="1"/>
    <col min="1543" max="1543" width="16.42578125" customWidth="1"/>
    <col min="1793" max="1793" width="66.5703125" customWidth="1"/>
    <col min="1794" max="1794" width="12" customWidth="1"/>
    <col min="1795" max="1795" width="16.140625" customWidth="1"/>
    <col min="1796" max="1796" width="16.7109375" customWidth="1"/>
    <col min="1797" max="1797" width="16.140625" customWidth="1"/>
    <col min="1798" max="1798" width="16" customWidth="1"/>
    <col min="1799" max="1799" width="16.42578125" customWidth="1"/>
    <col min="2049" max="2049" width="66.5703125" customWidth="1"/>
    <col min="2050" max="2050" width="12" customWidth="1"/>
    <col min="2051" max="2051" width="16.140625" customWidth="1"/>
    <col min="2052" max="2052" width="16.7109375" customWidth="1"/>
    <col min="2053" max="2053" width="16.140625" customWidth="1"/>
    <col min="2054" max="2054" width="16" customWidth="1"/>
    <col min="2055" max="2055" width="16.42578125" customWidth="1"/>
    <col min="2305" max="2305" width="66.5703125" customWidth="1"/>
    <col min="2306" max="2306" width="12" customWidth="1"/>
    <col min="2307" max="2307" width="16.140625" customWidth="1"/>
    <col min="2308" max="2308" width="16.7109375" customWidth="1"/>
    <col min="2309" max="2309" width="16.140625" customWidth="1"/>
    <col min="2310" max="2310" width="16" customWidth="1"/>
    <col min="2311" max="2311" width="16.42578125" customWidth="1"/>
    <col min="2561" max="2561" width="66.5703125" customWidth="1"/>
    <col min="2562" max="2562" width="12" customWidth="1"/>
    <col min="2563" max="2563" width="16.140625" customWidth="1"/>
    <col min="2564" max="2564" width="16.7109375" customWidth="1"/>
    <col min="2565" max="2565" width="16.140625" customWidth="1"/>
    <col min="2566" max="2566" width="16" customWidth="1"/>
    <col min="2567" max="2567" width="16.42578125" customWidth="1"/>
    <col min="2817" max="2817" width="66.5703125" customWidth="1"/>
    <col min="2818" max="2818" width="12" customWidth="1"/>
    <col min="2819" max="2819" width="16.140625" customWidth="1"/>
    <col min="2820" max="2820" width="16.7109375" customWidth="1"/>
    <col min="2821" max="2821" width="16.140625" customWidth="1"/>
    <col min="2822" max="2822" width="16" customWidth="1"/>
    <col min="2823" max="2823" width="16.42578125" customWidth="1"/>
    <col min="3073" max="3073" width="66.5703125" customWidth="1"/>
    <col min="3074" max="3074" width="12" customWidth="1"/>
    <col min="3075" max="3075" width="16.140625" customWidth="1"/>
    <col min="3076" max="3076" width="16.7109375" customWidth="1"/>
    <col min="3077" max="3077" width="16.140625" customWidth="1"/>
    <col min="3078" max="3078" width="16" customWidth="1"/>
    <col min="3079" max="3079" width="16.42578125" customWidth="1"/>
    <col min="3329" max="3329" width="66.5703125" customWidth="1"/>
    <col min="3330" max="3330" width="12" customWidth="1"/>
    <col min="3331" max="3331" width="16.140625" customWidth="1"/>
    <col min="3332" max="3332" width="16.7109375" customWidth="1"/>
    <col min="3333" max="3333" width="16.140625" customWidth="1"/>
    <col min="3334" max="3334" width="16" customWidth="1"/>
    <col min="3335" max="3335" width="16.42578125" customWidth="1"/>
    <col min="3585" max="3585" width="66.5703125" customWidth="1"/>
    <col min="3586" max="3586" width="12" customWidth="1"/>
    <col min="3587" max="3587" width="16.140625" customWidth="1"/>
    <col min="3588" max="3588" width="16.7109375" customWidth="1"/>
    <col min="3589" max="3589" width="16.140625" customWidth="1"/>
    <col min="3590" max="3590" width="16" customWidth="1"/>
    <col min="3591" max="3591" width="16.42578125" customWidth="1"/>
    <col min="3841" max="3841" width="66.5703125" customWidth="1"/>
    <col min="3842" max="3842" width="12" customWidth="1"/>
    <col min="3843" max="3843" width="16.140625" customWidth="1"/>
    <col min="3844" max="3844" width="16.7109375" customWidth="1"/>
    <col min="3845" max="3845" width="16.140625" customWidth="1"/>
    <col min="3846" max="3846" width="16" customWidth="1"/>
    <col min="3847" max="3847" width="16.42578125" customWidth="1"/>
    <col min="4097" max="4097" width="66.5703125" customWidth="1"/>
    <col min="4098" max="4098" width="12" customWidth="1"/>
    <col min="4099" max="4099" width="16.140625" customWidth="1"/>
    <col min="4100" max="4100" width="16.7109375" customWidth="1"/>
    <col min="4101" max="4101" width="16.140625" customWidth="1"/>
    <col min="4102" max="4102" width="16" customWidth="1"/>
    <col min="4103" max="4103" width="16.42578125" customWidth="1"/>
    <col min="4353" max="4353" width="66.5703125" customWidth="1"/>
    <col min="4354" max="4354" width="12" customWidth="1"/>
    <col min="4355" max="4355" width="16.140625" customWidth="1"/>
    <col min="4356" max="4356" width="16.7109375" customWidth="1"/>
    <col min="4357" max="4357" width="16.140625" customWidth="1"/>
    <col min="4358" max="4358" width="16" customWidth="1"/>
    <col min="4359" max="4359" width="16.42578125" customWidth="1"/>
    <col min="4609" max="4609" width="66.5703125" customWidth="1"/>
    <col min="4610" max="4610" width="12" customWidth="1"/>
    <col min="4611" max="4611" width="16.140625" customWidth="1"/>
    <col min="4612" max="4612" width="16.7109375" customWidth="1"/>
    <col min="4613" max="4613" width="16.140625" customWidth="1"/>
    <col min="4614" max="4614" width="16" customWidth="1"/>
    <col min="4615" max="4615" width="16.42578125" customWidth="1"/>
    <col min="4865" max="4865" width="66.5703125" customWidth="1"/>
    <col min="4866" max="4866" width="12" customWidth="1"/>
    <col min="4867" max="4867" width="16.140625" customWidth="1"/>
    <col min="4868" max="4868" width="16.7109375" customWidth="1"/>
    <col min="4869" max="4869" width="16.140625" customWidth="1"/>
    <col min="4870" max="4870" width="16" customWidth="1"/>
    <col min="4871" max="4871" width="16.42578125" customWidth="1"/>
    <col min="5121" max="5121" width="66.5703125" customWidth="1"/>
    <col min="5122" max="5122" width="12" customWidth="1"/>
    <col min="5123" max="5123" width="16.140625" customWidth="1"/>
    <col min="5124" max="5124" width="16.7109375" customWidth="1"/>
    <col min="5125" max="5125" width="16.140625" customWidth="1"/>
    <col min="5126" max="5126" width="16" customWidth="1"/>
    <col min="5127" max="5127" width="16.42578125" customWidth="1"/>
    <col min="5377" max="5377" width="66.5703125" customWidth="1"/>
    <col min="5378" max="5378" width="12" customWidth="1"/>
    <col min="5379" max="5379" width="16.140625" customWidth="1"/>
    <col min="5380" max="5380" width="16.7109375" customWidth="1"/>
    <col min="5381" max="5381" width="16.140625" customWidth="1"/>
    <col min="5382" max="5382" width="16" customWidth="1"/>
    <col min="5383" max="5383" width="16.42578125" customWidth="1"/>
    <col min="5633" max="5633" width="66.5703125" customWidth="1"/>
    <col min="5634" max="5634" width="12" customWidth="1"/>
    <col min="5635" max="5635" width="16.140625" customWidth="1"/>
    <col min="5636" max="5636" width="16.7109375" customWidth="1"/>
    <col min="5637" max="5637" width="16.140625" customWidth="1"/>
    <col min="5638" max="5638" width="16" customWidth="1"/>
    <col min="5639" max="5639" width="16.42578125" customWidth="1"/>
    <col min="5889" max="5889" width="66.5703125" customWidth="1"/>
    <col min="5890" max="5890" width="12" customWidth="1"/>
    <col min="5891" max="5891" width="16.140625" customWidth="1"/>
    <col min="5892" max="5892" width="16.7109375" customWidth="1"/>
    <col min="5893" max="5893" width="16.140625" customWidth="1"/>
    <col min="5894" max="5894" width="16" customWidth="1"/>
    <col min="5895" max="5895" width="16.42578125" customWidth="1"/>
    <col min="6145" max="6145" width="66.5703125" customWidth="1"/>
    <col min="6146" max="6146" width="12" customWidth="1"/>
    <col min="6147" max="6147" width="16.140625" customWidth="1"/>
    <col min="6148" max="6148" width="16.7109375" customWidth="1"/>
    <col min="6149" max="6149" width="16.140625" customWidth="1"/>
    <col min="6150" max="6150" width="16" customWidth="1"/>
    <col min="6151" max="6151" width="16.42578125" customWidth="1"/>
    <col min="6401" max="6401" width="66.5703125" customWidth="1"/>
    <col min="6402" max="6402" width="12" customWidth="1"/>
    <col min="6403" max="6403" width="16.140625" customWidth="1"/>
    <col min="6404" max="6404" width="16.7109375" customWidth="1"/>
    <col min="6405" max="6405" width="16.140625" customWidth="1"/>
    <col min="6406" max="6406" width="16" customWidth="1"/>
    <col min="6407" max="6407" width="16.42578125" customWidth="1"/>
    <col min="6657" max="6657" width="66.5703125" customWidth="1"/>
    <col min="6658" max="6658" width="12" customWidth="1"/>
    <col min="6659" max="6659" width="16.140625" customWidth="1"/>
    <col min="6660" max="6660" width="16.7109375" customWidth="1"/>
    <col min="6661" max="6661" width="16.140625" customWidth="1"/>
    <col min="6662" max="6662" width="16" customWidth="1"/>
    <col min="6663" max="6663" width="16.42578125" customWidth="1"/>
    <col min="6913" max="6913" width="66.5703125" customWidth="1"/>
    <col min="6914" max="6914" width="12" customWidth="1"/>
    <col min="6915" max="6915" width="16.140625" customWidth="1"/>
    <col min="6916" max="6916" width="16.7109375" customWidth="1"/>
    <col min="6917" max="6917" width="16.140625" customWidth="1"/>
    <col min="6918" max="6918" width="16" customWidth="1"/>
    <col min="6919" max="6919" width="16.42578125" customWidth="1"/>
    <col min="7169" max="7169" width="66.5703125" customWidth="1"/>
    <col min="7170" max="7170" width="12" customWidth="1"/>
    <col min="7171" max="7171" width="16.140625" customWidth="1"/>
    <col min="7172" max="7172" width="16.7109375" customWidth="1"/>
    <col min="7173" max="7173" width="16.140625" customWidth="1"/>
    <col min="7174" max="7174" width="16" customWidth="1"/>
    <col min="7175" max="7175" width="16.42578125" customWidth="1"/>
    <col min="7425" max="7425" width="66.5703125" customWidth="1"/>
    <col min="7426" max="7426" width="12" customWidth="1"/>
    <col min="7427" max="7427" width="16.140625" customWidth="1"/>
    <col min="7428" max="7428" width="16.7109375" customWidth="1"/>
    <col min="7429" max="7429" width="16.140625" customWidth="1"/>
    <col min="7430" max="7430" width="16" customWidth="1"/>
    <col min="7431" max="7431" width="16.42578125" customWidth="1"/>
    <col min="7681" max="7681" width="66.5703125" customWidth="1"/>
    <col min="7682" max="7682" width="12" customWidth="1"/>
    <col min="7683" max="7683" width="16.140625" customWidth="1"/>
    <col min="7684" max="7684" width="16.7109375" customWidth="1"/>
    <col min="7685" max="7685" width="16.140625" customWidth="1"/>
    <col min="7686" max="7686" width="16" customWidth="1"/>
    <col min="7687" max="7687" width="16.42578125" customWidth="1"/>
    <col min="7937" max="7937" width="66.5703125" customWidth="1"/>
    <col min="7938" max="7938" width="12" customWidth="1"/>
    <col min="7939" max="7939" width="16.140625" customWidth="1"/>
    <col min="7940" max="7940" width="16.7109375" customWidth="1"/>
    <col min="7941" max="7941" width="16.140625" customWidth="1"/>
    <col min="7942" max="7942" width="16" customWidth="1"/>
    <col min="7943" max="7943" width="16.42578125" customWidth="1"/>
    <col min="8193" max="8193" width="66.5703125" customWidth="1"/>
    <col min="8194" max="8194" width="12" customWidth="1"/>
    <col min="8195" max="8195" width="16.140625" customWidth="1"/>
    <col min="8196" max="8196" width="16.7109375" customWidth="1"/>
    <col min="8197" max="8197" width="16.140625" customWidth="1"/>
    <col min="8198" max="8198" width="16" customWidth="1"/>
    <col min="8199" max="8199" width="16.42578125" customWidth="1"/>
    <col min="8449" max="8449" width="66.5703125" customWidth="1"/>
    <col min="8450" max="8450" width="12" customWidth="1"/>
    <col min="8451" max="8451" width="16.140625" customWidth="1"/>
    <col min="8452" max="8452" width="16.7109375" customWidth="1"/>
    <col min="8453" max="8453" width="16.140625" customWidth="1"/>
    <col min="8454" max="8454" width="16" customWidth="1"/>
    <col min="8455" max="8455" width="16.42578125" customWidth="1"/>
    <col min="8705" max="8705" width="66.5703125" customWidth="1"/>
    <col min="8706" max="8706" width="12" customWidth="1"/>
    <col min="8707" max="8707" width="16.140625" customWidth="1"/>
    <col min="8708" max="8708" width="16.7109375" customWidth="1"/>
    <col min="8709" max="8709" width="16.140625" customWidth="1"/>
    <col min="8710" max="8710" width="16" customWidth="1"/>
    <col min="8711" max="8711" width="16.42578125" customWidth="1"/>
    <col min="8961" max="8961" width="66.5703125" customWidth="1"/>
    <col min="8962" max="8962" width="12" customWidth="1"/>
    <col min="8963" max="8963" width="16.140625" customWidth="1"/>
    <col min="8964" max="8964" width="16.7109375" customWidth="1"/>
    <col min="8965" max="8965" width="16.140625" customWidth="1"/>
    <col min="8966" max="8966" width="16" customWidth="1"/>
    <col min="8967" max="8967" width="16.42578125" customWidth="1"/>
    <col min="9217" max="9217" width="66.5703125" customWidth="1"/>
    <col min="9218" max="9218" width="12" customWidth="1"/>
    <col min="9219" max="9219" width="16.140625" customWidth="1"/>
    <col min="9220" max="9220" width="16.7109375" customWidth="1"/>
    <col min="9221" max="9221" width="16.140625" customWidth="1"/>
    <col min="9222" max="9222" width="16" customWidth="1"/>
    <col min="9223" max="9223" width="16.42578125" customWidth="1"/>
    <col min="9473" max="9473" width="66.5703125" customWidth="1"/>
    <col min="9474" max="9474" width="12" customWidth="1"/>
    <col min="9475" max="9475" width="16.140625" customWidth="1"/>
    <col min="9476" max="9476" width="16.7109375" customWidth="1"/>
    <col min="9477" max="9477" width="16.140625" customWidth="1"/>
    <col min="9478" max="9478" width="16" customWidth="1"/>
    <col min="9479" max="9479" width="16.42578125" customWidth="1"/>
    <col min="9729" max="9729" width="66.5703125" customWidth="1"/>
    <col min="9730" max="9730" width="12" customWidth="1"/>
    <col min="9731" max="9731" width="16.140625" customWidth="1"/>
    <col min="9732" max="9732" width="16.7109375" customWidth="1"/>
    <col min="9733" max="9733" width="16.140625" customWidth="1"/>
    <col min="9734" max="9734" width="16" customWidth="1"/>
    <col min="9735" max="9735" width="16.42578125" customWidth="1"/>
    <col min="9985" max="9985" width="66.5703125" customWidth="1"/>
    <col min="9986" max="9986" width="12" customWidth="1"/>
    <col min="9987" max="9987" width="16.140625" customWidth="1"/>
    <col min="9988" max="9988" width="16.7109375" customWidth="1"/>
    <col min="9989" max="9989" width="16.140625" customWidth="1"/>
    <col min="9990" max="9990" width="16" customWidth="1"/>
    <col min="9991" max="9991" width="16.42578125" customWidth="1"/>
    <col min="10241" max="10241" width="66.5703125" customWidth="1"/>
    <col min="10242" max="10242" width="12" customWidth="1"/>
    <col min="10243" max="10243" width="16.140625" customWidth="1"/>
    <col min="10244" max="10244" width="16.7109375" customWidth="1"/>
    <col min="10245" max="10245" width="16.140625" customWidth="1"/>
    <col min="10246" max="10246" width="16" customWidth="1"/>
    <col min="10247" max="10247" width="16.42578125" customWidth="1"/>
    <col min="10497" max="10497" width="66.5703125" customWidth="1"/>
    <col min="10498" max="10498" width="12" customWidth="1"/>
    <col min="10499" max="10499" width="16.140625" customWidth="1"/>
    <col min="10500" max="10500" width="16.7109375" customWidth="1"/>
    <col min="10501" max="10501" width="16.140625" customWidth="1"/>
    <col min="10502" max="10502" width="16" customWidth="1"/>
    <col min="10503" max="10503" width="16.42578125" customWidth="1"/>
    <col min="10753" max="10753" width="66.5703125" customWidth="1"/>
    <col min="10754" max="10754" width="12" customWidth="1"/>
    <col min="10755" max="10755" width="16.140625" customWidth="1"/>
    <col min="10756" max="10756" width="16.7109375" customWidth="1"/>
    <col min="10757" max="10757" width="16.140625" customWidth="1"/>
    <col min="10758" max="10758" width="16" customWidth="1"/>
    <col min="10759" max="10759" width="16.42578125" customWidth="1"/>
    <col min="11009" max="11009" width="66.5703125" customWidth="1"/>
    <col min="11010" max="11010" width="12" customWidth="1"/>
    <col min="11011" max="11011" width="16.140625" customWidth="1"/>
    <col min="11012" max="11012" width="16.7109375" customWidth="1"/>
    <col min="11013" max="11013" width="16.140625" customWidth="1"/>
    <col min="11014" max="11014" width="16" customWidth="1"/>
    <col min="11015" max="11015" width="16.42578125" customWidth="1"/>
    <col min="11265" max="11265" width="66.5703125" customWidth="1"/>
    <col min="11266" max="11266" width="12" customWidth="1"/>
    <col min="11267" max="11267" width="16.140625" customWidth="1"/>
    <col min="11268" max="11268" width="16.7109375" customWidth="1"/>
    <col min="11269" max="11269" width="16.140625" customWidth="1"/>
    <col min="11270" max="11270" width="16" customWidth="1"/>
    <col min="11271" max="11271" width="16.42578125" customWidth="1"/>
    <col min="11521" max="11521" width="66.5703125" customWidth="1"/>
    <col min="11522" max="11522" width="12" customWidth="1"/>
    <col min="11523" max="11523" width="16.140625" customWidth="1"/>
    <col min="11524" max="11524" width="16.7109375" customWidth="1"/>
    <col min="11525" max="11525" width="16.140625" customWidth="1"/>
    <col min="11526" max="11526" width="16" customWidth="1"/>
    <col min="11527" max="11527" width="16.42578125" customWidth="1"/>
    <col min="11777" max="11777" width="66.5703125" customWidth="1"/>
    <col min="11778" max="11778" width="12" customWidth="1"/>
    <col min="11779" max="11779" width="16.140625" customWidth="1"/>
    <col min="11780" max="11780" width="16.7109375" customWidth="1"/>
    <col min="11781" max="11781" width="16.140625" customWidth="1"/>
    <col min="11782" max="11782" width="16" customWidth="1"/>
    <col min="11783" max="11783" width="16.42578125" customWidth="1"/>
    <col min="12033" max="12033" width="66.5703125" customWidth="1"/>
    <col min="12034" max="12034" width="12" customWidth="1"/>
    <col min="12035" max="12035" width="16.140625" customWidth="1"/>
    <col min="12036" max="12036" width="16.7109375" customWidth="1"/>
    <col min="12037" max="12037" width="16.140625" customWidth="1"/>
    <col min="12038" max="12038" width="16" customWidth="1"/>
    <col min="12039" max="12039" width="16.42578125" customWidth="1"/>
    <col min="12289" max="12289" width="66.5703125" customWidth="1"/>
    <col min="12290" max="12290" width="12" customWidth="1"/>
    <col min="12291" max="12291" width="16.140625" customWidth="1"/>
    <col min="12292" max="12292" width="16.7109375" customWidth="1"/>
    <col min="12293" max="12293" width="16.140625" customWidth="1"/>
    <col min="12294" max="12294" width="16" customWidth="1"/>
    <col min="12295" max="12295" width="16.42578125" customWidth="1"/>
    <col min="12545" max="12545" width="66.5703125" customWidth="1"/>
    <col min="12546" max="12546" width="12" customWidth="1"/>
    <col min="12547" max="12547" width="16.140625" customWidth="1"/>
    <col min="12548" max="12548" width="16.7109375" customWidth="1"/>
    <col min="12549" max="12549" width="16.140625" customWidth="1"/>
    <col min="12550" max="12550" width="16" customWidth="1"/>
    <col min="12551" max="12551" width="16.42578125" customWidth="1"/>
    <col min="12801" max="12801" width="66.5703125" customWidth="1"/>
    <col min="12802" max="12802" width="12" customWidth="1"/>
    <col min="12803" max="12803" width="16.140625" customWidth="1"/>
    <col min="12804" max="12804" width="16.7109375" customWidth="1"/>
    <col min="12805" max="12805" width="16.140625" customWidth="1"/>
    <col min="12806" max="12806" width="16" customWidth="1"/>
    <col min="12807" max="12807" width="16.42578125" customWidth="1"/>
    <col min="13057" max="13057" width="66.5703125" customWidth="1"/>
    <col min="13058" max="13058" width="12" customWidth="1"/>
    <col min="13059" max="13059" width="16.140625" customWidth="1"/>
    <col min="13060" max="13060" width="16.7109375" customWidth="1"/>
    <col min="13061" max="13061" width="16.140625" customWidth="1"/>
    <col min="13062" max="13062" width="16" customWidth="1"/>
    <col min="13063" max="13063" width="16.42578125" customWidth="1"/>
    <col min="13313" max="13313" width="66.5703125" customWidth="1"/>
    <col min="13314" max="13314" width="12" customWidth="1"/>
    <col min="13315" max="13315" width="16.140625" customWidth="1"/>
    <col min="13316" max="13316" width="16.7109375" customWidth="1"/>
    <col min="13317" max="13317" width="16.140625" customWidth="1"/>
    <col min="13318" max="13318" width="16" customWidth="1"/>
    <col min="13319" max="13319" width="16.42578125" customWidth="1"/>
    <col min="13569" max="13569" width="66.5703125" customWidth="1"/>
    <col min="13570" max="13570" width="12" customWidth="1"/>
    <col min="13571" max="13571" width="16.140625" customWidth="1"/>
    <col min="13572" max="13572" width="16.7109375" customWidth="1"/>
    <col min="13573" max="13573" width="16.140625" customWidth="1"/>
    <col min="13574" max="13574" width="16" customWidth="1"/>
    <col min="13575" max="13575" width="16.42578125" customWidth="1"/>
    <col min="13825" max="13825" width="66.5703125" customWidth="1"/>
    <col min="13826" max="13826" width="12" customWidth="1"/>
    <col min="13827" max="13827" width="16.140625" customWidth="1"/>
    <col min="13828" max="13828" width="16.7109375" customWidth="1"/>
    <col min="13829" max="13829" width="16.140625" customWidth="1"/>
    <col min="13830" max="13830" width="16" customWidth="1"/>
    <col min="13831" max="13831" width="16.42578125" customWidth="1"/>
    <col min="14081" max="14081" width="66.5703125" customWidth="1"/>
    <col min="14082" max="14082" width="12" customWidth="1"/>
    <col min="14083" max="14083" width="16.140625" customWidth="1"/>
    <col min="14084" max="14084" width="16.7109375" customWidth="1"/>
    <col min="14085" max="14085" width="16.140625" customWidth="1"/>
    <col min="14086" max="14086" width="16" customWidth="1"/>
    <col min="14087" max="14087" width="16.42578125" customWidth="1"/>
    <col min="14337" max="14337" width="66.5703125" customWidth="1"/>
    <col min="14338" max="14338" width="12" customWidth="1"/>
    <col min="14339" max="14339" width="16.140625" customWidth="1"/>
    <col min="14340" max="14340" width="16.7109375" customWidth="1"/>
    <col min="14341" max="14341" width="16.140625" customWidth="1"/>
    <col min="14342" max="14342" width="16" customWidth="1"/>
    <col min="14343" max="14343" width="16.42578125" customWidth="1"/>
    <col min="14593" max="14593" width="66.5703125" customWidth="1"/>
    <col min="14594" max="14594" width="12" customWidth="1"/>
    <col min="14595" max="14595" width="16.140625" customWidth="1"/>
    <col min="14596" max="14596" width="16.7109375" customWidth="1"/>
    <col min="14597" max="14597" width="16.140625" customWidth="1"/>
    <col min="14598" max="14598" width="16" customWidth="1"/>
    <col min="14599" max="14599" width="16.42578125" customWidth="1"/>
    <col min="14849" max="14849" width="66.5703125" customWidth="1"/>
    <col min="14850" max="14850" width="12" customWidth="1"/>
    <col min="14851" max="14851" width="16.140625" customWidth="1"/>
    <col min="14852" max="14852" width="16.7109375" customWidth="1"/>
    <col min="14853" max="14853" width="16.140625" customWidth="1"/>
    <col min="14854" max="14854" width="16" customWidth="1"/>
    <col min="14855" max="14855" width="16.42578125" customWidth="1"/>
    <col min="15105" max="15105" width="66.5703125" customWidth="1"/>
    <col min="15106" max="15106" width="12" customWidth="1"/>
    <col min="15107" max="15107" width="16.140625" customWidth="1"/>
    <col min="15108" max="15108" width="16.7109375" customWidth="1"/>
    <col min="15109" max="15109" width="16.140625" customWidth="1"/>
    <col min="15110" max="15110" width="16" customWidth="1"/>
    <col min="15111" max="15111" width="16.42578125" customWidth="1"/>
    <col min="15361" max="15361" width="66.5703125" customWidth="1"/>
    <col min="15362" max="15362" width="12" customWidth="1"/>
    <col min="15363" max="15363" width="16.140625" customWidth="1"/>
    <col min="15364" max="15364" width="16.7109375" customWidth="1"/>
    <col min="15365" max="15365" width="16.140625" customWidth="1"/>
    <col min="15366" max="15366" width="16" customWidth="1"/>
    <col min="15367" max="15367" width="16.42578125" customWidth="1"/>
    <col min="15617" max="15617" width="66.5703125" customWidth="1"/>
    <col min="15618" max="15618" width="12" customWidth="1"/>
    <col min="15619" max="15619" width="16.140625" customWidth="1"/>
    <col min="15620" max="15620" width="16.7109375" customWidth="1"/>
    <col min="15621" max="15621" width="16.140625" customWidth="1"/>
    <col min="15622" max="15622" width="16" customWidth="1"/>
    <col min="15623" max="15623" width="16.42578125" customWidth="1"/>
    <col min="15873" max="15873" width="66.5703125" customWidth="1"/>
    <col min="15874" max="15874" width="12" customWidth="1"/>
    <col min="15875" max="15875" width="16.140625" customWidth="1"/>
    <col min="15876" max="15876" width="16.7109375" customWidth="1"/>
    <col min="15877" max="15877" width="16.140625" customWidth="1"/>
    <col min="15878" max="15878" width="16" customWidth="1"/>
    <col min="15879" max="15879" width="16.42578125" customWidth="1"/>
    <col min="16129" max="16129" width="66.5703125" customWidth="1"/>
    <col min="16130" max="16130" width="12" customWidth="1"/>
    <col min="16131" max="16131" width="16.140625" customWidth="1"/>
    <col min="16132" max="16132" width="16.7109375" customWidth="1"/>
    <col min="16133" max="16133" width="16.140625" customWidth="1"/>
    <col min="16134" max="16134" width="16" customWidth="1"/>
    <col min="16135" max="16135" width="16.42578125" customWidth="1"/>
  </cols>
  <sheetData>
    <row r="1" spans="1:12" ht="18.75">
      <c r="A1" s="123"/>
      <c r="B1" s="265"/>
      <c r="C1" s="393"/>
      <c r="D1" s="393"/>
      <c r="E1" s="302"/>
      <c r="F1" s="265"/>
      <c r="G1" s="123"/>
    </row>
    <row r="2" spans="1:12" ht="20.25">
      <c r="A2" s="517" t="s">
        <v>360</v>
      </c>
      <c r="B2" s="517"/>
      <c r="C2" s="517"/>
      <c r="D2" s="517"/>
      <c r="E2" s="517"/>
      <c r="F2" s="517"/>
      <c r="G2" s="123"/>
    </row>
    <row r="3" spans="1:12" ht="18.75">
      <c r="A3" s="268"/>
      <c r="B3" s="269"/>
      <c r="C3" s="310"/>
      <c r="D3" s="310"/>
      <c r="E3" s="310"/>
      <c r="F3" s="269"/>
      <c r="G3" s="123" t="s">
        <v>101</v>
      </c>
    </row>
    <row r="4" spans="1:12" ht="69" customHeight="1">
      <c r="A4" s="270" t="s">
        <v>30</v>
      </c>
      <c r="B4" s="267" t="s">
        <v>5</v>
      </c>
      <c r="C4" s="311" t="s">
        <v>426</v>
      </c>
      <c r="D4" s="311" t="s">
        <v>424</v>
      </c>
      <c r="E4" s="311" t="s">
        <v>425</v>
      </c>
      <c r="F4" s="271" t="s">
        <v>155</v>
      </c>
      <c r="G4" s="272" t="s">
        <v>361</v>
      </c>
    </row>
    <row r="5" spans="1:12" ht="18.75">
      <c r="A5" s="273">
        <v>1</v>
      </c>
      <c r="B5" s="124">
        <v>2</v>
      </c>
      <c r="C5" s="312">
        <v>3</v>
      </c>
      <c r="D5" s="312">
        <v>4</v>
      </c>
      <c r="E5" s="312">
        <v>5</v>
      </c>
      <c r="F5" s="124">
        <v>6</v>
      </c>
      <c r="G5" s="274">
        <v>7</v>
      </c>
    </row>
    <row r="6" spans="1:12" ht="30" customHeight="1">
      <c r="A6" s="94" t="s">
        <v>19</v>
      </c>
      <c r="B6" s="71"/>
      <c r="C6" s="313"/>
      <c r="D6" s="50"/>
      <c r="E6" s="313"/>
      <c r="F6" s="275"/>
      <c r="G6" s="276"/>
    </row>
    <row r="7" spans="1:12" ht="30" customHeight="1">
      <c r="A7" s="277" t="s">
        <v>362</v>
      </c>
      <c r="B7" s="278"/>
      <c r="C7" s="314"/>
      <c r="D7" s="50"/>
      <c r="E7" s="314"/>
      <c r="F7" s="279"/>
      <c r="G7" s="280"/>
    </row>
    <row r="8" spans="1:12" ht="29.25" customHeight="1">
      <c r="A8" s="94" t="s">
        <v>78</v>
      </c>
      <c r="B8" s="83">
        <v>3010</v>
      </c>
      <c r="C8" s="47">
        <f>C9+C10</f>
        <v>46933.7</v>
      </c>
      <c r="D8" s="47">
        <f>D9+D10</f>
        <v>57657.2</v>
      </c>
      <c r="E8" s="47">
        <f>SUM(E9:E10)</f>
        <v>57203.6</v>
      </c>
      <c r="F8" s="281">
        <f t="shared" ref="F8:F36" si="0">E8-D8</f>
        <v>-453.59999999999854</v>
      </c>
      <c r="G8" s="282">
        <f t="shared" ref="G8:G13" si="1">(E8/D8)*100</f>
        <v>99.213281255419972</v>
      </c>
      <c r="L8" s="418">
        <f>E8+E11+E17</f>
        <v>62753.599999999999</v>
      </c>
    </row>
    <row r="9" spans="1:12" ht="40.5" customHeight="1">
      <c r="A9" s="89" t="s">
        <v>177</v>
      </c>
      <c r="B9" s="278"/>
      <c r="C9" s="313">
        <v>46520.6</v>
      </c>
      <c r="D9" s="50">
        <v>57057.2</v>
      </c>
      <c r="E9" s="313">
        <v>56822.7</v>
      </c>
      <c r="F9" s="275">
        <f t="shared" si="0"/>
        <v>-234.5</v>
      </c>
      <c r="G9" s="276">
        <f t="shared" si="1"/>
        <v>99.589008924377637</v>
      </c>
    </row>
    <row r="10" spans="1:12" ht="30.75" customHeight="1">
      <c r="A10" s="89" t="s">
        <v>318</v>
      </c>
      <c r="B10" s="278"/>
      <c r="C10" s="313">
        <v>413.1</v>
      </c>
      <c r="D10" s="50">
        <v>600</v>
      </c>
      <c r="E10" s="313">
        <v>380.9</v>
      </c>
      <c r="F10" s="275">
        <f t="shared" ref="F10" si="2">E10-D10</f>
        <v>-219.10000000000002</v>
      </c>
      <c r="G10" s="354">
        <f t="shared" si="1"/>
        <v>63.483333333333327</v>
      </c>
    </row>
    <row r="11" spans="1:12" ht="25.5" customHeight="1">
      <c r="A11" s="93" t="s">
        <v>363</v>
      </c>
      <c r="B11" s="83">
        <v>3020</v>
      </c>
      <c r="C11" s="47">
        <f>SUM(C12:C14)</f>
        <v>5807.8</v>
      </c>
      <c r="D11" s="47">
        <f>SUM(D12:D15)</f>
        <v>5810</v>
      </c>
      <c r="E11" s="47">
        <f>SUM(E12:E14)</f>
        <v>5378.3</v>
      </c>
      <c r="F11" s="281">
        <f t="shared" si="0"/>
        <v>-431.69999999999982</v>
      </c>
      <c r="G11" s="282">
        <f t="shared" si="1"/>
        <v>92.569707401032701</v>
      </c>
    </row>
    <row r="12" spans="1:12" ht="27" customHeight="1">
      <c r="A12" s="61" t="s">
        <v>364</v>
      </c>
      <c r="B12" s="71"/>
      <c r="C12" s="313">
        <v>5570.8</v>
      </c>
      <c r="D12" s="50">
        <v>5538.8</v>
      </c>
      <c r="E12" s="313">
        <v>5378.3</v>
      </c>
      <c r="F12" s="275">
        <f t="shared" si="0"/>
        <v>-160.5</v>
      </c>
      <c r="G12" s="276">
        <f t="shared" si="1"/>
        <v>97.102260417418933</v>
      </c>
    </row>
    <row r="13" spans="1:12" ht="27" customHeight="1">
      <c r="A13" s="331" t="s">
        <v>178</v>
      </c>
      <c r="B13" s="71"/>
      <c r="C13" s="313">
        <v>81.8</v>
      </c>
      <c r="D13" s="50"/>
      <c r="E13" s="313"/>
      <c r="F13" s="275">
        <f t="shared" ref="F13" si="3">E13-D13</f>
        <v>0</v>
      </c>
      <c r="G13" s="354" t="e">
        <f t="shared" si="1"/>
        <v>#DIV/0!</v>
      </c>
    </row>
    <row r="14" spans="1:12" ht="42" customHeight="1">
      <c r="A14" s="89" t="s">
        <v>365</v>
      </c>
      <c r="B14" s="71"/>
      <c r="C14" s="313">
        <v>155.19999999999999</v>
      </c>
      <c r="D14" s="50">
        <v>271.2</v>
      </c>
      <c r="E14" s="313"/>
      <c r="F14" s="275">
        <f t="shared" si="0"/>
        <v>-271.2</v>
      </c>
      <c r="G14" s="276"/>
    </row>
    <row r="15" spans="1:12" ht="37.5" hidden="1">
      <c r="A15" s="89" t="s">
        <v>366</v>
      </c>
      <c r="B15" s="71"/>
      <c r="C15" s="313"/>
      <c r="D15" s="50"/>
      <c r="E15" s="313"/>
      <c r="F15" s="281">
        <f t="shared" si="0"/>
        <v>0</v>
      </c>
      <c r="G15" s="276"/>
    </row>
    <row r="16" spans="1:12" ht="37.5" hidden="1">
      <c r="A16" s="89" t="s">
        <v>91</v>
      </c>
      <c r="B16" s="83">
        <v>3030</v>
      </c>
      <c r="C16" s="313"/>
      <c r="D16" s="47"/>
      <c r="E16" s="313"/>
      <c r="F16" s="281">
        <f t="shared" si="0"/>
        <v>0</v>
      </c>
      <c r="G16" s="276"/>
    </row>
    <row r="17" spans="1:7" ht="30.75" customHeight="1">
      <c r="A17" s="93" t="s">
        <v>367</v>
      </c>
      <c r="B17" s="83">
        <v>3040</v>
      </c>
      <c r="C17" s="47">
        <f>SUM(C18:C23)</f>
        <v>117.3</v>
      </c>
      <c r="D17" s="47">
        <f>SUM(D18:D22)</f>
        <v>209.9</v>
      </c>
      <c r="E17" s="47">
        <f>SUM(E18:E23)</f>
        <v>171.70000000000002</v>
      </c>
      <c r="F17" s="281">
        <f t="shared" si="0"/>
        <v>-38.199999999999989</v>
      </c>
      <c r="G17" s="44">
        <f>(E17/D17)*100</f>
        <v>81.800857551214861</v>
      </c>
    </row>
    <row r="18" spans="1:7" ht="26.25" customHeight="1">
      <c r="A18" s="89" t="s">
        <v>397</v>
      </c>
      <c r="B18" s="71"/>
      <c r="C18" s="334">
        <v>111.3</v>
      </c>
      <c r="D18" s="50">
        <v>206.6</v>
      </c>
      <c r="E18" s="334">
        <v>156.80000000000001</v>
      </c>
      <c r="F18" s="275">
        <f t="shared" si="0"/>
        <v>-49.799999999999983</v>
      </c>
      <c r="G18" s="276">
        <f>(E18/D18)*100</f>
        <v>75.895450145208144</v>
      </c>
    </row>
    <row r="19" spans="1:7" ht="26.25" customHeight="1">
      <c r="A19" s="89" t="s">
        <v>396</v>
      </c>
      <c r="B19" s="71"/>
      <c r="C19" s="313">
        <v>5.5</v>
      </c>
      <c r="D19" s="50"/>
      <c r="E19" s="313"/>
      <c r="F19" s="275">
        <f t="shared" si="0"/>
        <v>0</v>
      </c>
      <c r="G19" s="276"/>
    </row>
    <row r="20" spans="1:7" ht="18.75" hidden="1">
      <c r="A20" s="89" t="s">
        <v>368</v>
      </c>
      <c r="B20" s="71"/>
      <c r="C20" s="313"/>
      <c r="D20" s="50"/>
      <c r="E20" s="313"/>
      <c r="F20" s="275">
        <f t="shared" si="0"/>
        <v>0</v>
      </c>
      <c r="G20" s="276"/>
    </row>
    <row r="21" spans="1:7" ht="18.75" hidden="1">
      <c r="A21" s="89" t="s">
        <v>369</v>
      </c>
      <c r="B21" s="71"/>
      <c r="C21" s="313"/>
      <c r="D21" s="50"/>
      <c r="E21" s="313"/>
      <c r="F21" s="275">
        <f t="shared" si="0"/>
        <v>0</v>
      </c>
      <c r="G21" s="276"/>
    </row>
    <row r="22" spans="1:7" ht="18.75" hidden="1">
      <c r="A22" s="89" t="s">
        <v>370</v>
      </c>
      <c r="B22" s="71"/>
      <c r="C22" s="313"/>
      <c r="D22" s="50">
        <v>3.3</v>
      </c>
      <c r="E22" s="313"/>
      <c r="F22" s="275">
        <f t="shared" si="0"/>
        <v>-3.3</v>
      </c>
      <c r="G22" s="276"/>
    </row>
    <row r="23" spans="1:7" ht="27.75" customHeight="1">
      <c r="A23" s="49" t="s">
        <v>371</v>
      </c>
      <c r="B23" s="71"/>
      <c r="C23" s="313">
        <v>0.5</v>
      </c>
      <c r="D23" s="50">
        <v>3.3</v>
      </c>
      <c r="E23" s="313">
        <v>14.9</v>
      </c>
      <c r="F23" s="275">
        <f t="shared" si="0"/>
        <v>11.600000000000001</v>
      </c>
      <c r="G23" s="276"/>
    </row>
    <row r="24" spans="1:7" ht="26.25" customHeight="1">
      <c r="A24" s="93" t="s">
        <v>372</v>
      </c>
      <c r="B24" s="284">
        <v>3139</v>
      </c>
      <c r="C24" s="47">
        <f>C25</f>
        <v>59.2</v>
      </c>
      <c r="D24" s="47">
        <f>SUM(D25:D25)</f>
        <v>0</v>
      </c>
      <c r="E24" s="47">
        <f>E25</f>
        <v>59.2</v>
      </c>
      <c r="F24" s="281">
        <f t="shared" si="0"/>
        <v>59.2</v>
      </c>
      <c r="G24" s="474" t="e">
        <f>(E24/D24)*100</f>
        <v>#DIV/0!</v>
      </c>
    </row>
    <row r="25" spans="1:7" ht="28.5" customHeight="1">
      <c r="A25" s="76" t="s">
        <v>373</v>
      </c>
      <c r="B25" s="214"/>
      <c r="C25" s="313">
        <v>59.2</v>
      </c>
      <c r="D25" s="50"/>
      <c r="E25" s="313">
        <v>59.2</v>
      </c>
      <c r="F25" s="275">
        <f t="shared" ref="F25" si="4">E25-D25</f>
        <v>59.2</v>
      </c>
      <c r="G25" s="354" t="e">
        <f>(E25/D25)*100</f>
        <v>#DIV/0!</v>
      </c>
    </row>
    <row r="26" spans="1:7" ht="26.25" customHeight="1">
      <c r="A26" s="94" t="s">
        <v>20</v>
      </c>
      <c r="B26" s="284"/>
      <c r="C26" s="313"/>
      <c r="D26" s="47"/>
      <c r="E26" s="313"/>
      <c r="F26" s="281"/>
      <c r="G26" s="276"/>
    </row>
    <row r="27" spans="1:7" ht="40.5" customHeight="1">
      <c r="A27" s="285" t="s">
        <v>61</v>
      </c>
      <c r="B27" s="284"/>
      <c r="C27" s="104"/>
      <c r="D27" s="47"/>
      <c r="E27" s="104"/>
      <c r="F27" s="281"/>
      <c r="G27" s="51"/>
    </row>
    <row r="28" spans="1:7" ht="26.25" customHeight="1">
      <c r="A28" s="286" t="s">
        <v>136</v>
      </c>
      <c r="B28" s="284">
        <v>3210</v>
      </c>
      <c r="C28" s="315"/>
      <c r="D28" s="315"/>
      <c r="E28" s="315">
        <f>E29+E33+E30+E32</f>
        <v>0</v>
      </c>
      <c r="F28" s="281">
        <f t="shared" si="0"/>
        <v>0</v>
      </c>
      <c r="G28" s="475" t="e">
        <f>(E28/D28)*100</f>
        <v>#DIV/0!</v>
      </c>
    </row>
    <row r="29" spans="1:7" ht="37.5" hidden="1">
      <c r="A29" s="287" t="s">
        <v>177</v>
      </c>
      <c r="B29" s="213"/>
      <c r="C29" s="104"/>
      <c r="D29" s="50"/>
      <c r="E29" s="104"/>
      <c r="F29" s="275">
        <f t="shared" si="0"/>
        <v>0</v>
      </c>
      <c r="G29" s="51" t="e">
        <f>(E29/D29)*100</f>
        <v>#DIV/0!</v>
      </c>
    </row>
    <row r="30" spans="1:7" ht="19.5" hidden="1">
      <c r="A30" s="287"/>
      <c r="B30" s="213"/>
      <c r="C30" s="105"/>
      <c r="D30" s="47"/>
      <c r="E30" s="105"/>
      <c r="F30" s="281">
        <f t="shared" si="0"/>
        <v>0</v>
      </c>
      <c r="G30" s="51"/>
    </row>
    <row r="31" spans="1:7" ht="29.25" hidden="1" customHeight="1">
      <c r="A31" s="287" t="s">
        <v>374</v>
      </c>
      <c r="B31" s="213"/>
      <c r="C31" s="105"/>
      <c r="D31" s="47"/>
      <c r="E31" s="105"/>
      <c r="F31" s="281">
        <f t="shared" si="0"/>
        <v>0</v>
      </c>
      <c r="G31" s="51"/>
    </row>
    <row r="32" spans="1:7" ht="24.75" hidden="1" customHeight="1">
      <c r="A32" s="287" t="s">
        <v>375</v>
      </c>
      <c r="B32" s="213"/>
      <c r="C32" s="105"/>
      <c r="D32" s="47"/>
      <c r="E32" s="105"/>
      <c r="F32" s="281">
        <f t="shared" si="0"/>
        <v>0</v>
      </c>
      <c r="G32" s="51"/>
    </row>
    <row r="33" spans="1:7" ht="37.5" hidden="1">
      <c r="A33" s="49" t="s">
        <v>376</v>
      </c>
      <c r="B33" s="288"/>
      <c r="C33" s="110"/>
      <c r="D33" s="47"/>
      <c r="E33" s="110"/>
      <c r="F33" s="281">
        <f t="shared" si="0"/>
        <v>0</v>
      </c>
      <c r="G33" s="53" t="e">
        <f t="shared" ref="G33:G36" si="5">(E33/D33)*100</f>
        <v>#DIV/0!</v>
      </c>
    </row>
    <row r="34" spans="1:7" ht="25.5" customHeight="1">
      <c r="A34" s="277" t="s">
        <v>62</v>
      </c>
      <c r="B34" s="283">
        <v>3255</v>
      </c>
      <c r="C34" s="80">
        <f>C35</f>
        <v>1555.2999999999997</v>
      </c>
      <c r="D34" s="80">
        <f t="shared" ref="D34:G34" si="6">D35</f>
        <v>7725</v>
      </c>
      <c r="E34" s="80">
        <f t="shared" si="6"/>
        <v>2826.4</v>
      </c>
      <c r="F34" s="80">
        <f t="shared" si="6"/>
        <v>-4898.6000000000004</v>
      </c>
      <c r="G34" s="80">
        <f t="shared" si="6"/>
        <v>36.587702265372165</v>
      </c>
    </row>
    <row r="35" spans="1:7" ht="31.5" customHeight="1">
      <c r="A35" s="290" t="s">
        <v>92</v>
      </c>
      <c r="B35" s="284">
        <v>3260</v>
      </c>
      <c r="C35" s="47">
        <f>SUM(C36,C55,C56,C61)</f>
        <v>1555.2999999999997</v>
      </c>
      <c r="D35" s="47">
        <f>SUM(D36,D55,D56,D61)</f>
        <v>7725</v>
      </c>
      <c r="E35" s="47">
        <f>SUM(E36,E55,E56,E61)</f>
        <v>2826.4</v>
      </c>
      <c r="F35" s="281">
        <f t="shared" si="0"/>
        <v>-4898.6000000000004</v>
      </c>
      <c r="G35" s="44">
        <f t="shared" si="5"/>
        <v>36.587702265372165</v>
      </c>
    </row>
    <row r="36" spans="1:7" ht="37.5">
      <c r="A36" s="94" t="s">
        <v>377</v>
      </c>
      <c r="B36" s="284">
        <v>3266</v>
      </c>
      <c r="C36" s="47">
        <f>SUM(C37:C50)</f>
        <v>841.99999999999989</v>
      </c>
      <c r="D36" s="394">
        <f>SUM(D37:D50)</f>
        <v>3400</v>
      </c>
      <c r="E36" s="47">
        <f>SUM(E37:E54)</f>
        <v>298.39999999999998</v>
      </c>
      <c r="F36" s="281">
        <f t="shared" si="0"/>
        <v>-3101.6</v>
      </c>
      <c r="G36" s="44">
        <f t="shared" si="5"/>
        <v>8.7764705882352931</v>
      </c>
    </row>
    <row r="37" spans="1:7" ht="32.25" customHeight="1">
      <c r="A37" s="320" t="s">
        <v>477</v>
      </c>
      <c r="B37" s="214"/>
      <c r="C37" s="104"/>
      <c r="D37" s="395">
        <v>200</v>
      </c>
      <c r="E37" s="104"/>
      <c r="F37" s="275">
        <f t="shared" ref="F37" si="7">E37-D37</f>
        <v>-200</v>
      </c>
      <c r="G37" s="51">
        <f t="shared" ref="G37" si="8">(E37/D37)*100</f>
        <v>0</v>
      </c>
    </row>
    <row r="38" spans="1:7" ht="30.75" customHeight="1">
      <c r="A38" s="304" t="s">
        <v>398</v>
      </c>
      <c r="B38" s="214"/>
      <c r="C38" s="104">
        <v>47.3</v>
      </c>
      <c r="D38" s="395"/>
      <c r="E38" s="104"/>
      <c r="F38" s="275">
        <f t="shared" ref="F38:F63" si="9">E38-D38</f>
        <v>0</v>
      </c>
      <c r="G38" s="355" t="e">
        <f t="shared" ref="G38:G63" si="10">(E38/D38)*100</f>
        <v>#DIV/0!</v>
      </c>
    </row>
    <row r="39" spans="1:7" ht="53.25" customHeight="1">
      <c r="A39" s="305" t="s">
        <v>399</v>
      </c>
      <c r="B39" s="214"/>
      <c r="C39" s="104">
        <v>36.5</v>
      </c>
      <c r="D39" s="395"/>
      <c r="E39" s="104"/>
      <c r="F39" s="275">
        <f t="shared" si="9"/>
        <v>0</v>
      </c>
      <c r="G39" s="355" t="e">
        <f t="shared" si="10"/>
        <v>#DIV/0!</v>
      </c>
    </row>
    <row r="40" spans="1:7" ht="30.75" customHeight="1">
      <c r="A40" s="321" t="s">
        <v>478</v>
      </c>
      <c r="B40" s="214"/>
      <c r="C40" s="104">
        <v>474.3</v>
      </c>
      <c r="D40" s="395">
        <v>1000</v>
      </c>
      <c r="E40" s="104"/>
      <c r="F40" s="275">
        <f t="shared" si="9"/>
        <v>-1000</v>
      </c>
      <c r="G40" s="51">
        <f t="shared" si="10"/>
        <v>0</v>
      </c>
    </row>
    <row r="41" spans="1:7" ht="27" customHeight="1">
      <c r="A41" s="224" t="s">
        <v>479</v>
      </c>
      <c r="B41" s="214"/>
      <c r="C41" s="104">
        <v>74</v>
      </c>
      <c r="D41" s="395">
        <v>350</v>
      </c>
      <c r="E41" s="104"/>
      <c r="F41" s="275">
        <f t="shared" si="9"/>
        <v>-350</v>
      </c>
      <c r="G41" s="51">
        <f t="shared" si="10"/>
        <v>0</v>
      </c>
    </row>
    <row r="42" spans="1:7" ht="26.25" customHeight="1">
      <c r="A42" s="306" t="s">
        <v>485</v>
      </c>
      <c r="B42" s="214"/>
      <c r="C42" s="104">
        <v>21.3</v>
      </c>
      <c r="D42" s="396"/>
      <c r="E42" s="104"/>
      <c r="F42" s="275">
        <f t="shared" si="9"/>
        <v>0</v>
      </c>
      <c r="G42" s="355" t="e">
        <f t="shared" si="10"/>
        <v>#DIV/0!</v>
      </c>
    </row>
    <row r="43" spans="1:7" ht="30.75" customHeight="1">
      <c r="A43" s="307" t="s">
        <v>400</v>
      </c>
      <c r="B43" s="214"/>
      <c r="C43" s="104">
        <v>7.9</v>
      </c>
      <c r="D43" s="395"/>
      <c r="E43" s="104"/>
      <c r="F43" s="275">
        <f t="shared" si="9"/>
        <v>0</v>
      </c>
      <c r="G43" s="356" t="e">
        <f t="shared" si="10"/>
        <v>#DIV/0!</v>
      </c>
    </row>
    <row r="44" spans="1:7" ht="33.75" customHeight="1">
      <c r="A44" s="303" t="s">
        <v>435</v>
      </c>
      <c r="B44" s="214"/>
      <c r="C44" s="104"/>
      <c r="D44" s="397">
        <v>1500</v>
      </c>
      <c r="E44" s="104"/>
      <c r="F44" s="275">
        <f t="shared" si="9"/>
        <v>-1500</v>
      </c>
      <c r="G44" s="289">
        <f t="shared" si="10"/>
        <v>0</v>
      </c>
    </row>
    <row r="45" spans="1:7" ht="49.5" customHeight="1">
      <c r="A45" s="303" t="s">
        <v>401</v>
      </c>
      <c r="B45" s="214"/>
      <c r="C45" s="104">
        <v>13</v>
      </c>
      <c r="D45" s="395"/>
      <c r="E45" s="104"/>
      <c r="F45" s="275">
        <f t="shared" si="9"/>
        <v>0</v>
      </c>
      <c r="G45" s="356" t="e">
        <f t="shared" si="10"/>
        <v>#DIV/0!</v>
      </c>
    </row>
    <row r="46" spans="1:7" ht="49.5" customHeight="1">
      <c r="A46" s="326" t="s">
        <v>486</v>
      </c>
      <c r="B46" s="214"/>
      <c r="C46" s="104">
        <v>50</v>
      </c>
      <c r="D46" s="395">
        <v>200</v>
      </c>
      <c r="E46" s="104">
        <v>99.5</v>
      </c>
      <c r="F46" s="275">
        <f t="shared" si="9"/>
        <v>-100.5</v>
      </c>
      <c r="G46" s="356">
        <f t="shared" si="10"/>
        <v>49.75</v>
      </c>
    </row>
    <row r="47" spans="1:7" ht="30.75" customHeight="1">
      <c r="A47" s="332" t="s">
        <v>414</v>
      </c>
      <c r="B47" s="214"/>
      <c r="C47" s="104">
        <v>17.2</v>
      </c>
      <c r="D47" s="395"/>
      <c r="E47" s="104"/>
      <c r="F47" s="275">
        <f t="shared" si="9"/>
        <v>0</v>
      </c>
      <c r="G47" s="356" t="e">
        <f t="shared" si="10"/>
        <v>#DIV/0!</v>
      </c>
    </row>
    <row r="48" spans="1:7" ht="91.5" customHeight="1">
      <c r="A48" s="325" t="s">
        <v>484</v>
      </c>
      <c r="B48" s="214"/>
      <c r="C48" s="104">
        <v>50.8</v>
      </c>
      <c r="D48" s="395">
        <v>150</v>
      </c>
      <c r="E48" s="104"/>
      <c r="F48" s="275">
        <f t="shared" si="9"/>
        <v>-150</v>
      </c>
      <c r="G48" s="289">
        <f t="shared" si="10"/>
        <v>0</v>
      </c>
    </row>
    <row r="49" spans="1:7" ht="28.5" customHeight="1">
      <c r="A49" s="309" t="s">
        <v>402</v>
      </c>
      <c r="B49" s="214"/>
      <c r="C49" s="104">
        <v>16.899999999999999</v>
      </c>
      <c r="D49" s="395"/>
      <c r="E49" s="104"/>
      <c r="F49" s="275">
        <f t="shared" si="9"/>
        <v>0</v>
      </c>
      <c r="G49" s="356" t="e">
        <f t="shared" si="10"/>
        <v>#DIV/0!</v>
      </c>
    </row>
    <row r="50" spans="1:7" ht="43.5" customHeight="1">
      <c r="A50" s="309" t="s">
        <v>403</v>
      </c>
      <c r="B50" s="214"/>
      <c r="C50" s="104">
        <v>32.799999999999997</v>
      </c>
      <c r="D50" s="395"/>
      <c r="E50" s="104"/>
      <c r="F50" s="275">
        <f t="shared" si="9"/>
        <v>0</v>
      </c>
      <c r="G50" s="356" t="e">
        <f t="shared" si="10"/>
        <v>#DIV/0!</v>
      </c>
    </row>
    <row r="51" spans="1:7" ht="69.75" customHeight="1">
      <c r="A51" s="291" t="s">
        <v>481</v>
      </c>
      <c r="B51" s="214"/>
      <c r="C51" s="104"/>
      <c r="D51" s="395"/>
      <c r="E51" s="104">
        <v>69.7</v>
      </c>
      <c r="F51" s="275">
        <f t="shared" si="9"/>
        <v>69.7</v>
      </c>
      <c r="G51" s="356" t="e">
        <f t="shared" si="10"/>
        <v>#DIV/0!</v>
      </c>
    </row>
    <row r="52" spans="1:7" ht="26.25" customHeight="1">
      <c r="A52" s="382" t="s">
        <v>482</v>
      </c>
      <c r="B52" s="214"/>
      <c r="C52" s="104"/>
      <c r="D52" s="395"/>
      <c r="E52" s="104">
        <v>20.8</v>
      </c>
      <c r="F52" s="275">
        <f t="shared" si="9"/>
        <v>20.8</v>
      </c>
      <c r="G52" s="356" t="e">
        <f t="shared" si="10"/>
        <v>#DIV/0!</v>
      </c>
    </row>
    <row r="53" spans="1:7" ht="24.75" customHeight="1">
      <c r="A53" s="382" t="s">
        <v>489</v>
      </c>
      <c r="B53" s="214"/>
      <c r="C53" s="104"/>
      <c r="D53" s="395"/>
      <c r="E53" s="104">
        <v>70</v>
      </c>
      <c r="F53" s="275">
        <f t="shared" si="9"/>
        <v>70</v>
      </c>
      <c r="G53" s="356" t="e">
        <f t="shared" si="10"/>
        <v>#DIV/0!</v>
      </c>
    </row>
    <row r="54" spans="1:7" ht="26.25" customHeight="1">
      <c r="A54" s="382" t="s">
        <v>490</v>
      </c>
      <c r="B54" s="214"/>
      <c r="C54" s="104"/>
      <c r="D54" s="395"/>
      <c r="E54" s="104">
        <v>38.4</v>
      </c>
      <c r="F54" s="275">
        <f t="shared" si="9"/>
        <v>38.4</v>
      </c>
      <c r="G54" s="356" t="e">
        <f t="shared" si="10"/>
        <v>#DIV/0!</v>
      </c>
    </row>
    <row r="55" spans="1:7" ht="45" customHeight="1">
      <c r="A55" s="94" t="s">
        <v>378</v>
      </c>
      <c r="B55" s="284">
        <v>3267</v>
      </c>
      <c r="C55" s="47">
        <v>685.3</v>
      </c>
      <c r="D55" s="106">
        <v>1230</v>
      </c>
      <c r="E55" s="47">
        <v>198.7</v>
      </c>
      <c r="F55" s="281">
        <f t="shared" si="9"/>
        <v>-1031.3</v>
      </c>
      <c r="G55" s="44">
        <f t="shared" si="10"/>
        <v>16.154471544715445</v>
      </c>
    </row>
    <row r="56" spans="1:7" s="293" customFormat="1" ht="42" customHeight="1">
      <c r="A56" s="94" t="s">
        <v>379</v>
      </c>
      <c r="B56" s="284">
        <v>3268</v>
      </c>
      <c r="C56" s="47">
        <f>SUM(C57:C58)</f>
        <v>28</v>
      </c>
      <c r="D56" s="47">
        <f>SUM(D57:D58)</f>
        <v>395</v>
      </c>
      <c r="E56" s="47">
        <v>28</v>
      </c>
      <c r="F56" s="281">
        <f t="shared" si="9"/>
        <v>-367</v>
      </c>
      <c r="G56" s="292">
        <f t="shared" si="10"/>
        <v>7.0886075949367093</v>
      </c>
    </row>
    <row r="57" spans="1:7" ht="37.5">
      <c r="A57" s="291" t="s">
        <v>380</v>
      </c>
      <c r="B57" s="214"/>
      <c r="C57" s="104"/>
      <c r="D57" s="104">
        <v>105</v>
      </c>
      <c r="E57" s="104"/>
      <c r="F57" s="281">
        <f t="shared" si="9"/>
        <v>-105</v>
      </c>
      <c r="G57" s="51">
        <f t="shared" si="10"/>
        <v>0</v>
      </c>
    </row>
    <row r="58" spans="1:7" ht="37.5">
      <c r="A58" s="54" t="s">
        <v>381</v>
      </c>
      <c r="B58" s="214"/>
      <c r="C58" s="104">
        <v>28</v>
      </c>
      <c r="D58" s="104">
        <v>290</v>
      </c>
      <c r="E58" s="104"/>
      <c r="F58" s="281">
        <f t="shared" si="9"/>
        <v>-290</v>
      </c>
      <c r="G58" s="51">
        <f t="shared" si="10"/>
        <v>0</v>
      </c>
    </row>
    <row r="59" spans="1:7" ht="18.75" hidden="1">
      <c r="A59" s="89" t="s">
        <v>382</v>
      </c>
      <c r="B59" s="294">
        <v>3270</v>
      </c>
      <c r="C59" s="226"/>
      <c r="D59" s="226"/>
      <c r="E59" s="226"/>
      <c r="F59" s="281">
        <f t="shared" si="9"/>
        <v>0</v>
      </c>
      <c r="G59" s="51" t="e">
        <f t="shared" si="10"/>
        <v>#DIV/0!</v>
      </c>
    </row>
    <row r="60" spans="1:7" ht="37.5" hidden="1">
      <c r="A60" s="89" t="s">
        <v>383</v>
      </c>
      <c r="B60" s="214"/>
      <c r="C60" s="316"/>
      <c r="D60" s="50"/>
      <c r="E60" s="316"/>
      <c r="F60" s="281">
        <f t="shared" si="9"/>
        <v>0</v>
      </c>
      <c r="G60" s="51" t="e">
        <f t="shared" si="10"/>
        <v>#DIV/0!</v>
      </c>
    </row>
    <row r="61" spans="1:7" s="293" customFormat="1" ht="27" customHeight="1">
      <c r="A61" s="212" t="s">
        <v>384</v>
      </c>
      <c r="B61" s="213">
        <v>3270</v>
      </c>
      <c r="C61" s="333"/>
      <c r="D61" s="47">
        <f>D62+D63</f>
        <v>2700</v>
      </c>
      <c r="E61" s="47">
        <f>E62+E63</f>
        <v>2301.3000000000002</v>
      </c>
      <c r="F61" s="281">
        <f t="shared" si="9"/>
        <v>-398.69999999999982</v>
      </c>
      <c r="G61" s="199">
        <f t="shared" si="10"/>
        <v>85.233333333333334</v>
      </c>
    </row>
    <row r="62" spans="1:7" ht="42.75" customHeight="1">
      <c r="A62" s="308" t="s">
        <v>354</v>
      </c>
      <c r="B62" s="214"/>
      <c r="C62" s="316"/>
      <c r="D62" s="50">
        <v>1400</v>
      </c>
      <c r="E62" s="316">
        <v>2301.3000000000002</v>
      </c>
      <c r="F62" s="275">
        <f t="shared" si="9"/>
        <v>901.30000000000018</v>
      </c>
      <c r="G62" s="473">
        <f t="shared" si="10"/>
        <v>164.37857142857143</v>
      </c>
    </row>
    <row r="63" spans="1:7" ht="40.5">
      <c r="A63" s="319" t="s">
        <v>355</v>
      </c>
      <c r="B63" s="214"/>
      <c r="C63" s="316"/>
      <c r="D63" s="50">
        <v>1300</v>
      </c>
      <c r="E63" s="316"/>
      <c r="F63" s="275">
        <f t="shared" si="9"/>
        <v>-1300</v>
      </c>
      <c r="G63" s="472">
        <f t="shared" si="10"/>
        <v>0</v>
      </c>
    </row>
    <row r="64" spans="1:7" ht="18.75">
      <c r="A64" s="295"/>
      <c r="B64" s="296"/>
      <c r="C64" s="398"/>
      <c r="D64" s="399"/>
      <c r="E64" s="317"/>
      <c r="F64" s="298"/>
      <c r="G64" s="299"/>
    </row>
    <row r="65" spans="1:7" ht="18.75">
      <c r="A65" s="300"/>
      <c r="B65" s="265"/>
      <c r="C65" s="400"/>
      <c r="D65" s="317"/>
      <c r="E65" s="317"/>
      <c r="F65" s="297"/>
      <c r="G65" s="123"/>
    </row>
    <row r="66" spans="1:7" ht="18.75">
      <c r="A66" s="131" t="s">
        <v>295</v>
      </c>
      <c r="B66" s="265"/>
      <c r="C66" s="401"/>
      <c r="D66" s="402"/>
      <c r="E66" s="317"/>
      <c r="F66" s="518" t="s">
        <v>420</v>
      </c>
      <c r="G66" s="519"/>
    </row>
    <row r="67" spans="1:7" ht="18.75">
      <c r="A67" s="301" t="s">
        <v>12</v>
      </c>
      <c r="B67" s="265"/>
      <c r="C67" s="520" t="s">
        <v>13</v>
      </c>
      <c r="D67" s="521"/>
      <c r="E67" s="317"/>
      <c r="F67" s="522" t="s">
        <v>385</v>
      </c>
      <c r="G67" s="523"/>
    </row>
    <row r="68" spans="1:7" ht="18.75">
      <c r="A68" s="300"/>
      <c r="B68" s="265"/>
      <c r="C68" s="400"/>
      <c r="D68" s="317"/>
      <c r="E68" s="317"/>
      <c r="F68" s="297"/>
      <c r="G68" s="123"/>
    </row>
  </sheetData>
  <mergeCells count="4">
    <mergeCell ref="A2:F2"/>
    <mergeCell ref="F66:G66"/>
    <mergeCell ref="C67:D67"/>
    <mergeCell ref="F67:G67"/>
  </mergeCells>
  <pageMargins left="0.59055118110236227" right="0.59055118110236227" top="0.78740157480314965" bottom="0.39370078740157483" header="0.31496062992125984" footer="0.31496062992125984"/>
  <pageSetup paperSize="9" scale="83" fitToHeight="4" orientation="landscape" r:id="rId1"/>
  <rowBreaks count="1" manualBreakCount="1">
    <brk id="4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H175"/>
  <sheetViews>
    <sheetView view="pageBreakPreview" topLeftCell="A22" zoomScale="70" zoomScaleNormal="100" zoomScaleSheetLayoutView="70" workbookViewId="0">
      <selection activeCell="A29" sqref="A29"/>
    </sheetView>
  </sheetViews>
  <sheetFormatPr defaultRowHeight="18.75"/>
  <cols>
    <col min="1" max="1" width="69" style="28" customWidth="1"/>
    <col min="2" max="2" width="12" style="37" customWidth="1"/>
    <col min="3" max="3" width="16.140625" style="225" customWidth="1"/>
    <col min="4" max="4" width="16.7109375" style="225" customWidth="1"/>
    <col min="5" max="5" width="16.140625" style="37" customWidth="1"/>
    <col min="6" max="6" width="16" style="37" customWidth="1"/>
    <col min="7" max="7" width="16.42578125" style="28" customWidth="1"/>
    <col min="8" max="16384" width="9.140625" style="28"/>
  </cols>
  <sheetData>
    <row r="1" spans="1:8" ht="27.75" customHeight="1">
      <c r="A1" s="503" t="s">
        <v>144</v>
      </c>
      <c r="B1" s="503"/>
      <c r="C1" s="503"/>
      <c r="D1" s="503"/>
      <c r="E1" s="503"/>
      <c r="F1" s="503"/>
    </row>
    <row r="2" spans="1:8" ht="19.5" customHeight="1">
      <c r="A2" s="29"/>
      <c r="B2" s="30"/>
      <c r="C2" s="222"/>
      <c r="D2" s="222"/>
      <c r="E2" s="29"/>
      <c r="F2" s="30"/>
      <c r="G2" s="41" t="s">
        <v>101</v>
      </c>
    </row>
    <row r="3" spans="1:8" ht="64.5" customHeight="1">
      <c r="A3" s="32" t="s">
        <v>30</v>
      </c>
      <c r="B3" s="33" t="s">
        <v>5</v>
      </c>
      <c r="C3" s="311" t="s">
        <v>426</v>
      </c>
      <c r="D3" s="311" t="s">
        <v>424</v>
      </c>
      <c r="E3" s="267" t="s">
        <v>425</v>
      </c>
      <c r="F3" s="39" t="s">
        <v>160</v>
      </c>
      <c r="G3" s="40" t="s">
        <v>161</v>
      </c>
    </row>
    <row r="4" spans="1:8" ht="18" customHeight="1">
      <c r="A4" s="35">
        <v>1</v>
      </c>
      <c r="B4" s="2">
        <v>2</v>
      </c>
      <c r="C4" s="223">
        <v>3</v>
      </c>
      <c r="D4" s="223">
        <v>4</v>
      </c>
      <c r="E4" s="2">
        <v>5</v>
      </c>
      <c r="F4" s="2">
        <v>6</v>
      </c>
      <c r="G4" s="34">
        <v>7</v>
      </c>
    </row>
    <row r="5" spans="1:8" ht="48" customHeight="1">
      <c r="A5" s="111" t="s">
        <v>15</v>
      </c>
      <c r="B5" s="120">
        <v>4000</v>
      </c>
      <c r="C5" s="109">
        <f>SUM(C6,C28,C29)</f>
        <v>1181.6999999999998</v>
      </c>
      <c r="D5" s="109">
        <f>SUM(D6,D28,D29)+D32</f>
        <v>7191.7</v>
      </c>
      <c r="E5" s="121">
        <f>SUM(E6,E28,E29)+E32</f>
        <v>4746.5</v>
      </c>
      <c r="F5" s="121">
        <f t="shared" ref="F5:F21" si="0">E5-D5</f>
        <v>-2445.1999999999998</v>
      </c>
      <c r="G5" s="122">
        <f t="shared" ref="G5:G21" si="1">(E5/D5)*100</f>
        <v>65.999694091800279</v>
      </c>
      <c r="H5" s="123"/>
    </row>
    <row r="6" spans="1:8" ht="27.75" customHeight="1">
      <c r="A6" s="127" t="s">
        <v>0</v>
      </c>
      <c r="B6" s="128">
        <v>4020</v>
      </c>
      <c r="C6" s="106">
        <f>SUM(C7:C21)</f>
        <v>873.0999999999998</v>
      </c>
      <c r="D6" s="106">
        <f>SUM(D7:D21)</f>
        <v>2866.7</v>
      </c>
      <c r="E6" s="126">
        <f>SUM(E7:E27)</f>
        <v>2223.5</v>
      </c>
      <c r="F6" s="126">
        <f t="shared" si="0"/>
        <v>-643.19999999999982</v>
      </c>
      <c r="G6" s="44">
        <f t="shared" si="1"/>
        <v>77.563051592423349</v>
      </c>
      <c r="H6" s="123"/>
    </row>
    <row r="7" spans="1:8" ht="24" customHeight="1">
      <c r="A7" s="320" t="s">
        <v>477</v>
      </c>
      <c r="B7" s="312"/>
      <c r="C7" s="104"/>
      <c r="D7" s="104">
        <v>166.7</v>
      </c>
      <c r="E7" s="125"/>
      <c r="F7" s="125">
        <f t="shared" si="0"/>
        <v>-166.7</v>
      </c>
      <c r="G7" s="44">
        <f t="shared" si="1"/>
        <v>0</v>
      </c>
      <c r="H7" s="123"/>
    </row>
    <row r="8" spans="1:8" ht="24" customHeight="1">
      <c r="A8" s="321" t="s">
        <v>478</v>
      </c>
      <c r="B8" s="312"/>
      <c r="C8" s="104">
        <v>474</v>
      </c>
      <c r="D8" s="104">
        <v>833.3</v>
      </c>
      <c r="E8" s="125"/>
      <c r="F8" s="125">
        <f t="shared" si="0"/>
        <v>-833.3</v>
      </c>
      <c r="G8" s="51">
        <f t="shared" si="1"/>
        <v>0</v>
      </c>
      <c r="H8" s="123"/>
    </row>
    <row r="9" spans="1:8" ht="25.5" customHeight="1">
      <c r="A9" s="224" t="s">
        <v>479</v>
      </c>
      <c r="B9" s="312"/>
      <c r="C9" s="104">
        <v>73.900000000000006</v>
      </c>
      <c r="D9" s="104">
        <v>291.7</v>
      </c>
      <c r="E9" s="125"/>
      <c r="F9" s="125">
        <f t="shared" si="0"/>
        <v>-291.7</v>
      </c>
      <c r="G9" s="51">
        <f t="shared" si="1"/>
        <v>0</v>
      </c>
      <c r="H9" s="123"/>
    </row>
    <row r="10" spans="1:8" ht="28.5" customHeight="1">
      <c r="A10" s="224" t="s">
        <v>485</v>
      </c>
      <c r="B10" s="312"/>
      <c r="C10" s="104">
        <v>21.3</v>
      </c>
      <c r="D10" s="104"/>
      <c r="E10" s="86"/>
      <c r="F10" s="125">
        <f t="shared" si="0"/>
        <v>0</v>
      </c>
      <c r="G10" s="198" t="e">
        <f t="shared" si="1"/>
        <v>#DIV/0!</v>
      </c>
      <c r="H10" s="123"/>
    </row>
    <row r="11" spans="1:8" ht="27" customHeight="1">
      <c r="A11" s="323" t="s">
        <v>400</v>
      </c>
      <c r="B11" s="312"/>
      <c r="C11" s="104">
        <v>7.9</v>
      </c>
      <c r="D11" s="104"/>
      <c r="E11" s="125"/>
      <c r="F11" s="125">
        <f t="shared" si="0"/>
        <v>0</v>
      </c>
      <c r="G11" s="198" t="e">
        <f t="shared" si="1"/>
        <v>#DIV/0!</v>
      </c>
      <c r="H11" s="123"/>
    </row>
    <row r="12" spans="1:8" ht="26.25" customHeight="1">
      <c r="A12" s="224" t="s">
        <v>436</v>
      </c>
      <c r="B12" s="312"/>
      <c r="C12" s="104"/>
      <c r="D12" s="104">
        <v>1250</v>
      </c>
      <c r="E12" s="125"/>
      <c r="F12" s="125">
        <f t="shared" si="0"/>
        <v>-1250</v>
      </c>
      <c r="G12" s="51">
        <f t="shared" si="1"/>
        <v>0</v>
      </c>
      <c r="H12" s="123"/>
    </row>
    <row r="13" spans="1:8" ht="26.25" customHeight="1">
      <c r="A13" s="322" t="s">
        <v>480</v>
      </c>
      <c r="B13" s="312"/>
      <c r="C13" s="104">
        <v>36.5</v>
      </c>
      <c r="D13" s="104"/>
      <c r="E13" s="125"/>
      <c r="F13" s="125">
        <f t="shared" si="0"/>
        <v>0</v>
      </c>
      <c r="G13" s="198" t="e">
        <f t="shared" si="1"/>
        <v>#DIV/0!</v>
      </c>
      <c r="H13" s="123"/>
    </row>
    <row r="14" spans="1:8" ht="104.25" customHeight="1">
      <c r="A14" s="325" t="s">
        <v>484</v>
      </c>
      <c r="B14" s="312"/>
      <c r="C14" s="104">
        <v>73.8</v>
      </c>
      <c r="D14" s="104">
        <v>125</v>
      </c>
      <c r="E14" s="125">
        <v>45.7</v>
      </c>
      <c r="F14" s="125">
        <f t="shared" si="0"/>
        <v>-79.3</v>
      </c>
      <c r="G14" s="51">
        <f t="shared" si="1"/>
        <v>36.56</v>
      </c>
      <c r="H14" s="123"/>
    </row>
    <row r="15" spans="1:8" ht="45" customHeight="1">
      <c r="A15" s="327" t="s">
        <v>404</v>
      </c>
      <c r="B15" s="312"/>
      <c r="C15" s="104">
        <v>32.799999999999997</v>
      </c>
      <c r="D15" s="104"/>
      <c r="E15" s="125"/>
      <c r="F15" s="125">
        <f t="shared" si="0"/>
        <v>0</v>
      </c>
      <c r="G15" s="198" t="e">
        <f t="shared" si="1"/>
        <v>#DIV/0!</v>
      </c>
      <c r="H15" s="123"/>
    </row>
    <row r="16" spans="1:8" ht="72" customHeight="1">
      <c r="A16" s="324" t="s">
        <v>492</v>
      </c>
      <c r="B16" s="312"/>
      <c r="C16" s="104">
        <v>13</v>
      </c>
      <c r="D16" s="104"/>
      <c r="E16" s="125">
        <v>126.3</v>
      </c>
      <c r="F16" s="125">
        <f t="shared" si="0"/>
        <v>126.3</v>
      </c>
      <c r="G16" s="198" t="e">
        <f t="shared" si="1"/>
        <v>#DIV/0!</v>
      </c>
      <c r="H16" s="123"/>
    </row>
    <row r="17" spans="1:8" ht="24.75" customHeight="1">
      <c r="A17" s="324" t="s">
        <v>415</v>
      </c>
      <c r="B17" s="312"/>
      <c r="C17" s="104">
        <v>47.3</v>
      </c>
      <c r="D17" s="104"/>
      <c r="E17" s="125"/>
      <c r="F17" s="125">
        <f t="shared" si="0"/>
        <v>0</v>
      </c>
      <c r="G17" s="198" t="e">
        <f t="shared" si="1"/>
        <v>#DIV/0!</v>
      </c>
      <c r="H17" s="123"/>
    </row>
    <row r="18" spans="1:8" ht="27" customHeight="1">
      <c r="A18" s="326" t="s">
        <v>402</v>
      </c>
      <c r="B18" s="312"/>
      <c r="C18" s="104">
        <v>16.899999999999999</v>
      </c>
      <c r="D18" s="104"/>
      <c r="E18" s="125"/>
      <c r="F18" s="125">
        <f t="shared" si="0"/>
        <v>0</v>
      </c>
      <c r="G18" s="198" t="e">
        <f t="shared" si="1"/>
        <v>#DIV/0!</v>
      </c>
      <c r="H18" s="123"/>
    </row>
    <row r="19" spans="1:8" ht="60.75" customHeight="1">
      <c r="A19" s="326" t="s">
        <v>493</v>
      </c>
      <c r="B19" s="312"/>
      <c r="C19" s="104">
        <v>17.2</v>
      </c>
      <c r="D19" s="104"/>
      <c r="E19" s="125">
        <v>30.4</v>
      </c>
      <c r="F19" s="125">
        <f t="shared" si="0"/>
        <v>30.4</v>
      </c>
      <c r="G19" s="198" t="e">
        <f t="shared" si="1"/>
        <v>#DIV/0!</v>
      </c>
      <c r="H19" s="123"/>
    </row>
    <row r="20" spans="1:8" ht="36.75" customHeight="1">
      <c r="A20" s="326" t="s">
        <v>486</v>
      </c>
      <c r="B20" s="312"/>
      <c r="C20" s="104">
        <v>50</v>
      </c>
      <c r="D20" s="104">
        <v>200</v>
      </c>
      <c r="E20" s="125">
        <v>99.5</v>
      </c>
      <c r="F20" s="125">
        <f t="shared" si="0"/>
        <v>-100.5</v>
      </c>
      <c r="G20" s="198">
        <f t="shared" si="1"/>
        <v>49.75</v>
      </c>
      <c r="H20" s="123"/>
    </row>
    <row r="21" spans="1:8" ht="26.25" customHeight="1">
      <c r="A21" s="324" t="s">
        <v>416</v>
      </c>
      <c r="B21" s="312"/>
      <c r="C21" s="104">
        <v>8.5</v>
      </c>
      <c r="D21" s="104"/>
      <c r="E21" s="125"/>
      <c r="F21" s="125">
        <f t="shared" si="0"/>
        <v>0</v>
      </c>
      <c r="G21" s="198" t="e">
        <f t="shared" si="1"/>
        <v>#DIV/0!</v>
      </c>
      <c r="H21" s="123"/>
    </row>
    <row r="22" spans="1:8" ht="66" customHeight="1">
      <c r="A22" s="291" t="s">
        <v>481</v>
      </c>
      <c r="B22" s="312"/>
      <c r="C22" s="104"/>
      <c r="D22" s="104"/>
      <c r="E22" s="125">
        <v>69.7</v>
      </c>
      <c r="F22" s="125"/>
      <c r="G22" s="198"/>
      <c r="H22" s="123"/>
    </row>
    <row r="23" spans="1:8" ht="31.5" customHeight="1">
      <c r="A23" s="382" t="s">
        <v>482</v>
      </c>
      <c r="B23" s="312"/>
      <c r="C23" s="104"/>
      <c r="D23" s="104"/>
      <c r="E23" s="125">
        <v>20.8</v>
      </c>
      <c r="F23" s="125"/>
      <c r="G23" s="198"/>
      <c r="H23" s="123"/>
    </row>
    <row r="24" spans="1:8" ht="30.75" customHeight="1">
      <c r="A24" s="382" t="s">
        <v>483</v>
      </c>
      <c r="B24" s="312"/>
      <c r="C24" s="104"/>
      <c r="D24" s="104"/>
      <c r="E24" s="125">
        <v>31.5</v>
      </c>
      <c r="F24" s="125"/>
      <c r="G24" s="198"/>
      <c r="H24" s="123"/>
    </row>
    <row r="25" spans="1:8" ht="32.25" customHeight="1">
      <c r="A25" s="382" t="s">
        <v>489</v>
      </c>
      <c r="B25" s="312"/>
      <c r="C25" s="104"/>
      <c r="D25" s="104"/>
      <c r="E25" s="125">
        <v>70</v>
      </c>
      <c r="F25" s="125"/>
      <c r="G25" s="198"/>
      <c r="H25" s="123"/>
    </row>
    <row r="26" spans="1:8" ht="30.75" customHeight="1">
      <c r="A26" s="382" t="s">
        <v>490</v>
      </c>
      <c r="B26" s="312"/>
      <c r="C26" s="104"/>
      <c r="D26" s="104"/>
      <c r="E26" s="125">
        <v>38.4</v>
      </c>
      <c r="F26" s="125"/>
      <c r="G26" s="198"/>
      <c r="H26" s="123"/>
    </row>
    <row r="27" spans="1:8" ht="29.25" customHeight="1">
      <c r="A27" s="382" t="s">
        <v>491</v>
      </c>
      <c r="B27" s="312"/>
      <c r="C27" s="104"/>
      <c r="D27" s="104"/>
      <c r="E27" s="125">
        <v>1691.2</v>
      </c>
      <c r="F27" s="125"/>
      <c r="G27" s="198"/>
      <c r="H27" s="123"/>
    </row>
    <row r="28" spans="1:8" ht="42" customHeight="1">
      <c r="A28" s="127" t="s">
        <v>405</v>
      </c>
      <c r="B28" s="129">
        <v>4030</v>
      </c>
      <c r="C28" s="106">
        <v>280.60000000000002</v>
      </c>
      <c r="D28" s="106">
        <v>1230</v>
      </c>
      <c r="E28" s="126">
        <v>221.7</v>
      </c>
      <c r="F28" s="126">
        <f t="shared" ref="F28" si="2">E28-D28</f>
        <v>-1008.3</v>
      </c>
      <c r="G28" s="199">
        <f t="shared" ref="G28" si="3">(E28/D28)*100</f>
        <v>18.024390243902438</v>
      </c>
      <c r="H28" s="130"/>
    </row>
    <row r="29" spans="1:8" ht="37.5">
      <c r="A29" s="127" t="s">
        <v>406</v>
      </c>
      <c r="B29" s="128">
        <v>4040</v>
      </c>
      <c r="C29" s="106">
        <f>C30+C31</f>
        <v>28</v>
      </c>
      <c r="D29" s="106">
        <f>D30+D31</f>
        <v>395</v>
      </c>
      <c r="E29" s="126">
        <f>E30+E31</f>
        <v>0</v>
      </c>
      <c r="F29" s="126">
        <f t="shared" ref="F29:F34" si="4">E29-D29</f>
        <v>-395</v>
      </c>
      <c r="G29" s="44">
        <f t="shared" ref="G29:G30" si="5">(E29/D29)*100</f>
        <v>0</v>
      </c>
      <c r="H29" s="123"/>
    </row>
    <row r="30" spans="1:8" ht="56.25">
      <c r="A30" s="55" t="s">
        <v>316</v>
      </c>
      <c r="B30" s="124"/>
      <c r="C30" s="104"/>
      <c r="D30" s="104">
        <v>105</v>
      </c>
      <c r="E30" s="125"/>
      <c r="F30" s="125">
        <f t="shared" si="4"/>
        <v>-105</v>
      </c>
      <c r="G30" s="44">
        <f t="shared" si="5"/>
        <v>0</v>
      </c>
      <c r="H30" s="123"/>
    </row>
    <row r="31" spans="1:8" ht="56.25">
      <c r="A31" s="52" t="s">
        <v>317</v>
      </c>
      <c r="B31" s="124"/>
      <c r="C31" s="104">
        <v>28</v>
      </c>
      <c r="D31" s="104">
        <v>290</v>
      </c>
      <c r="E31" s="125"/>
      <c r="F31" s="125">
        <f t="shared" si="4"/>
        <v>-290</v>
      </c>
      <c r="G31" s="51">
        <f>(E31/D31)*100</f>
        <v>0</v>
      </c>
      <c r="H31" s="123"/>
    </row>
    <row r="32" spans="1:8" ht="23.25" customHeight="1">
      <c r="A32" s="212" t="s">
        <v>342</v>
      </c>
      <c r="B32" s="213">
        <v>4060</v>
      </c>
      <c r="C32" s="104"/>
      <c r="D32" s="106">
        <f>D33+D34</f>
        <v>2700</v>
      </c>
      <c r="E32" s="126">
        <f>E33</f>
        <v>2301.3000000000002</v>
      </c>
      <c r="F32" s="126">
        <f t="shared" si="4"/>
        <v>-398.69999999999982</v>
      </c>
      <c r="G32" s="199">
        <f t="shared" ref="G32" si="6">(E32/D32)*100</f>
        <v>85.233333333333334</v>
      </c>
      <c r="H32" s="123"/>
    </row>
    <row r="33" spans="1:8" ht="37.5">
      <c r="A33" s="49" t="s">
        <v>355</v>
      </c>
      <c r="B33" s="214"/>
      <c r="C33" s="104"/>
      <c r="D33" s="104">
        <v>1400</v>
      </c>
      <c r="E33" s="125">
        <v>2301.3000000000002</v>
      </c>
      <c r="F33" s="125">
        <f t="shared" si="4"/>
        <v>901.30000000000018</v>
      </c>
      <c r="G33" s="51">
        <f>(E33/D33)*100</f>
        <v>164.37857142857143</v>
      </c>
      <c r="H33" s="123"/>
    </row>
    <row r="34" spans="1:8" ht="37.5">
      <c r="A34" s="89" t="s">
        <v>354</v>
      </c>
      <c r="B34" s="48"/>
      <c r="C34" s="104"/>
      <c r="D34" s="104">
        <v>1300</v>
      </c>
      <c r="E34" s="125"/>
      <c r="F34" s="125">
        <f t="shared" si="4"/>
        <v>-1300</v>
      </c>
      <c r="G34" s="51">
        <f>(E34/D34)*100</f>
        <v>0</v>
      </c>
      <c r="H34" s="123"/>
    </row>
    <row r="35" spans="1:8">
      <c r="B35" s="192"/>
      <c r="C35" s="381"/>
      <c r="D35" s="381"/>
      <c r="E35" s="193"/>
      <c r="F35" s="193"/>
      <c r="G35" s="194"/>
      <c r="H35" s="123"/>
    </row>
    <row r="36" spans="1:8" ht="20.25">
      <c r="A36" s="353" t="s">
        <v>295</v>
      </c>
      <c r="B36" s="132"/>
      <c r="C36" s="524"/>
      <c r="D36" s="525"/>
      <c r="E36" s="133"/>
      <c r="F36" s="509" t="s">
        <v>420</v>
      </c>
      <c r="G36" s="509"/>
      <c r="H36" s="195"/>
    </row>
    <row r="37" spans="1:8" ht="20.25">
      <c r="A37" s="191" t="s">
        <v>12</v>
      </c>
      <c r="B37" s="118"/>
      <c r="C37" s="513" t="s">
        <v>13</v>
      </c>
      <c r="D37" s="513"/>
      <c r="E37" s="196"/>
      <c r="F37" s="526" t="s">
        <v>296</v>
      </c>
      <c r="G37" s="526"/>
      <c r="H37" s="526"/>
    </row>
    <row r="39" spans="1:8">
      <c r="A39" s="38"/>
    </row>
    <row r="40" spans="1:8">
      <c r="A40" s="38"/>
    </row>
    <row r="41" spans="1:8">
      <c r="A41" s="38"/>
    </row>
    <row r="42" spans="1:8">
      <c r="A42" s="38"/>
    </row>
    <row r="43" spans="1:8">
      <c r="A43" s="38"/>
    </row>
    <row r="44" spans="1:8">
      <c r="A44" s="38"/>
    </row>
    <row r="45" spans="1:8">
      <c r="A45" s="38"/>
    </row>
    <row r="46" spans="1:8">
      <c r="A46" s="38"/>
    </row>
    <row r="47" spans="1:8">
      <c r="A47" s="38"/>
    </row>
    <row r="48" spans="1:8">
      <c r="A48" s="38"/>
    </row>
    <row r="49" spans="1:1">
      <c r="A49" s="38"/>
    </row>
    <row r="50" spans="1:1">
      <c r="A50" s="38"/>
    </row>
    <row r="51" spans="1:1">
      <c r="A51" s="38"/>
    </row>
    <row r="52" spans="1:1">
      <c r="A52" s="38"/>
    </row>
    <row r="53" spans="1:1">
      <c r="A53" s="38"/>
    </row>
    <row r="54" spans="1:1">
      <c r="A54" s="38"/>
    </row>
    <row r="55" spans="1:1">
      <c r="A55" s="38"/>
    </row>
    <row r="56" spans="1:1">
      <c r="A56" s="38"/>
    </row>
    <row r="57" spans="1:1">
      <c r="A57" s="38"/>
    </row>
    <row r="58" spans="1:1">
      <c r="A58" s="38"/>
    </row>
    <row r="59" spans="1:1">
      <c r="A59" s="38"/>
    </row>
    <row r="60" spans="1:1">
      <c r="A60" s="38"/>
    </row>
    <row r="61" spans="1:1">
      <c r="A61" s="38"/>
    </row>
    <row r="62" spans="1:1">
      <c r="A62" s="38"/>
    </row>
    <row r="63" spans="1:1">
      <c r="A63" s="38"/>
    </row>
    <row r="64" spans="1:1">
      <c r="A64" s="38"/>
    </row>
    <row r="65" spans="1:1">
      <c r="A65" s="38"/>
    </row>
    <row r="66" spans="1:1">
      <c r="A66" s="38"/>
    </row>
    <row r="67" spans="1:1">
      <c r="A67" s="38"/>
    </row>
    <row r="68" spans="1:1">
      <c r="A68" s="38"/>
    </row>
    <row r="69" spans="1:1">
      <c r="A69" s="38"/>
    </row>
    <row r="70" spans="1:1">
      <c r="A70" s="38"/>
    </row>
    <row r="71" spans="1:1">
      <c r="A71" s="38"/>
    </row>
    <row r="72" spans="1:1">
      <c r="A72" s="38"/>
    </row>
    <row r="73" spans="1:1">
      <c r="A73" s="38"/>
    </row>
    <row r="74" spans="1:1">
      <c r="A74" s="38"/>
    </row>
    <row r="75" spans="1:1">
      <c r="A75" s="38"/>
    </row>
    <row r="76" spans="1:1">
      <c r="A76" s="38"/>
    </row>
    <row r="77" spans="1:1">
      <c r="A77" s="38"/>
    </row>
    <row r="78" spans="1:1">
      <c r="A78" s="38"/>
    </row>
    <row r="79" spans="1:1">
      <c r="A79" s="38"/>
    </row>
    <row r="80" spans="1:1">
      <c r="A80" s="38"/>
    </row>
    <row r="81" spans="1:1">
      <c r="A81" s="38"/>
    </row>
    <row r="82" spans="1:1">
      <c r="A82" s="38"/>
    </row>
    <row r="83" spans="1:1">
      <c r="A83" s="38"/>
    </row>
    <row r="84" spans="1:1">
      <c r="A84" s="38"/>
    </row>
    <row r="85" spans="1:1">
      <c r="A85" s="38"/>
    </row>
    <row r="86" spans="1:1">
      <c r="A86" s="38"/>
    </row>
    <row r="87" spans="1:1">
      <c r="A87" s="38"/>
    </row>
    <row r="88" spans="1:1">
      <c r="A88" s="38"/>
    </row>
    <row r="89" spans="1:1">
      <c r="A89" s="38"/>
    </row>
    <row r="90" spans="1:1">
      <c r="A90" s="38"/>
    </row>
    <row r="91" spans="1:1">
      <c r="A91" s="38"/>
    </row>
    <row r="92" spans="1:1">
      <c r="A92" s="38"/>
    </row>
    <row r="93" spans="1:1">
      <c r="A93" s="38"/>
    </row>
    <row r="94" spans="1:1">
      <c r="A94" s="38"/>
    </row>
    <row r="95" spans="1:1">
      <c r="A95" s="38"/>
    </row>
    <row r="96" spans="1:1">
      <c r="A96" s="38"/>
    </row>
    <row r="97" spans="1:1">
      <c r="A97" s="38"/>
    </row>
    <row r="98" spans="1:1">
      <c r="A98" s="38"/>
    </row>
    <row r="99" spans="1:1">
      <c r="A99" s="38"/>
    </row>
    <row r="100" spans="1:1">
      <c r="A100" s="38"/>
    </row>
    <row r="101" spans="1:1">
      <c r="A101" s="38"/>
    </row>
    <row r="102" spans="1:1">
      <c r="A102" s="38"/>
    </row>
    <row r="103" spans="1:1">
      <c r="A103" s="38"/>
    </row>
    <row r="104" spans="1:1">
      <c r="A104" s="38"/>
    </row>
    <row r="105" spans="1:1">
      <c r="A105" s="38"/>
    </row>
    <row r="106" spans="1:1">
      <c r="A106" s="38"/>
    </row>
    <row r="107" spans="1:1">
      <c r="A107" s="38"/>
    </row>
    <row r="108" spans="1:1">
      <c r="A108" s="38"/>
    </row>
    <row r="109" spans="1:1">
      <c r="A109" s="38"/>
    </row>
    <row r="110" spans="1:1">
      <c r="A110" s="38"/>
    </row>
    <row r="111" spans="1:1">
      <c r="A111" s="38"/>
    </row>
    <row r="112" spans="1:1">
      <c r="A112" s="38"/>
    </row>
    <row r="113" spans="1:1">
      <c r="A113" s="38"/>
    </row>
    <row r="114" spans="1:1">
      <c r="A114" s="38"/>
    </row>
    <row r="115" spans="1:1">
      <c r="A115" s="38"/>
    </row>
    <row r="116" spans="1:1">
      <c r="A116" s="38"/>
    </row>
    <row r="117" spans="1:1">
      <c r="A117" s="38"/>
    </row>
    <row r="118" spans="1:1">
      <c r="A118" s="38"/>
    </row>
    <row r="119" spans="1:1">
      <c r="A119" s="38"/>
    </row>
    <row r="120" spans="1:1">
      <c r="A120" s="38"/>
    </row>
    <row r="121" spans="1:1">
      <c r="A121" s="38"/>
    </row>
    <row r="122" spans="1:1">
      <c r="A122" s="38"/>
    </row>
    <row r="123" spans="1:1">
      <c r="A123" s="38"/>
    </row>
    <row r="124" spans="1:1">
      <c r="A124" s="38"/>
    </row>
    <row r="125" spans="1:1">
      <c r="A125" s="38"/>
    </row>
    <row r="126" spans="1:1">
      <c r="A126" s="38"/>
    </row>
    <row r="127" spans="1:1">
      <c r="A127" s="38"/>
    </row>
    <row r="128" spans="1:1">
      <c r="A128" s="38"/>
    </row>
    <row r="129" spans="1:1">
      <c r="A129" s="38"/>
    </row>
    <row r="130" spans="1:1">
      <c r="A130" s="38"/>
    </row>
    <row r="131" spans="1:1">
      <c r="A131" s="38"/>
    </row>
    <row r="132" spans="1:1">
      <c r="A132" s="38"/>
    </row>
    <row r="133" spans="1:1">
      <c r="A133" s="38"/>
    </row>
    <row r="134" spans="1:1">
      <c r="A134" s="38"/>
    </row>
    <row r="135" spans="1:1">
      <c r="A135" s="38"/>
    </row>
    <row r="136" spans="1:1">
      <c r="A136" s="38"/>
    </row>
    <row r="137" spans="1:1">
      <c r="A137" s="38"/>
    </row>
    <row r="138" spans="1:1">
      <c r="A138" s="38"/>
    </row>
    <row r="139" spans="1:1">
      <c r="A139" s="38"/>
    </row>
    <row r="140" spans="1:1">
      <c r="A140" s="38"/>
    </row>
    <row r="141" spans="1:1">
      <c r="A141" s="38"/>
    </row>
    <row r="142" spans="1:1">
      <c r="A142" s="38"/>
    </row>
    <row r="143" spans="1:1">
      <c r="A143" s="38"/>
    </row>
    <row r="144" spans="1:1">
      <c r="A144" s="38"/>
    </row>
    <row r="145" spans="1:1">
      <c r="A145" s="38"/>
    </row>
    <row r="146" spans="1:1">
      <c r="A146" s="38"/>
    </row>
    <row r="147" spans="1:1">
      <c r="A147" s="38"/>
    </row>
    <row r="148" spans="1:1">
      <c r="A148" s="38"/>
    </row>
    <row r="149" spans="1:1">
      <c r="A149" s="38"/>
    </row>
    <row r="150" spans="1:1">
      <c r="A150" s="38"/>
    </row>
    <row r="151" spans="1:1">
      <c r="A151" s="38"/>
    </row>
    <row r="152" spans="1:1">
      <c r="A152" s="38"/>
    </row>
    <row r="153" spans="1:1">
      <c r="A153" s="38"/>
    </row>
    <row r="154" spans="1:1">
      <c r="A154" s="38"/>
    </row>
    <row r="155" spans="1:1">
      <c r="A155" s="38"/>
    </row>
    <row r="156" spans="1:1">
      <c r="A156" s="38"/>
    </row>
    <row r="157" spans="1:1">
      <c r="A157" s="38"/>
    </row>
    <row r="158" spans="1:1">
      <c r="A158" s="38"/>
    </row>
    <row r="159" spans="1:1">
      <c r="A159" s="38"/>
    </row>
    <row r="160" spans="1:1">
      <c r="A160" s="38"/>
    </row>
    <row r="161" spans="1:1">
      <c r="A161" s="38"/>
    </row>
    <row r="162" spans="1:1">
      <c r="A162" s="38"/>
    </row>
    <row r="163" spans="1:1">
      <c r="A163" s="38"/>
    </row>
    <row r="164" spans="1:1">
      <c r="A164" s="38"/>
    </row>
    <row r="165" spans="1:1">
      <c r="A165" s="38"/>
    </row>
    <row r="166" spans="1:1">
      <c r="A166" s="38"/>
    </row>
    <row r="167" spans="1:1">
      <c r="A167" s="38"/>
    </row>
    <row r="168" spans="1:1">
      <c r="A168" s="38"/>
    </row>
    <row r="169" spans="1:1">
      <c r="A169" s="38"/>
    </row>
    <row r="170" spans="1:1">
      <c r="A170" s="38"/>
    </row>
    <row r="171" spans="1:1">
      <c r="A171" s="38"/>
    </row>
    <row r="172" spans="1:1">
      <c r="A172" s="38"/>
    </row>
    <row r="173" spans="1:1">
      <c r="A173" s="38"/>
    </row>
    <row r="174" spans="1:1">
      <c r="A174" s="38"/>
    </row>
    <row r="175" spans="1:1">
      <c r="A175" s="38"/>
    </row>
  </sheetData>
  <mergeCells count="5">
    <mergeCell ref="C36:D36"/>
    <mergeCell ref="C37:D37"/>
    <mergeCell ref="F37:H37"/>
    <mergeCell ref="A1:F1"/>
    <mergeCell ref="F36:G36"/>
  </mergeCells>
  <pageMargins left="0.39370078740157483" right="0.39370078740157483" top="0.78740157480314965" bottom="0.39370078740157483" header="0.19685039370078741" footer="0.19685039370078741"/>
  <pageSetup paperSize="9" scale="87" fitToHeight="3" orientation="landscape" r:id="rId1"/>
  <rowBreaks count="1" manualBreakCount="1">
    <brk id="27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AN56"/>
  <sheetViews>
    <sheetView view="pageBreakPreview" zoomScale="60" zoomScaleNormal="60" workbookViewId="0">
      <pane xSplit="10" ySplit="8" topLeftCell="K9" activePane="bottomRight" state="frozen"/>
      <selection pane="topRight" activeCell="K1" sqref="K1"/>
      <selection pane="bottomLeft" activeCell="A9" sqref="A9"/>
      <selection pane="bottomRight" activeCell="O16" sqref="O16"/>
    </sheetView>
  </sheetViews>
  <sheetFormatPr defaultRowHeight="20.25"/>
  <cols>
    <col min="1" max="1" width="8.28515625" style="137" customWidth="1"/>
    <col min="2" max="2" width="69.85546875" style="137" customWidth="1"/>
    <col min="3" max="3" width="15.5703125" style="137" customWidth="1"/>
    <col min="4" max="4" width="16" style="137" customWidth="1"/>
    <col min="5" max="5" width="11" style="137" hidden="1" customWidth="1"/>
    <col min="6" max="6" width="11.140625" style="137" hidden="1" customWidth="1"/>
    <col min="7" max="7" width="3.85546875" style="137" hidden="1" customWidth="1"/>
    <col min="8" max="8" width="17.140625" style="137" customWidth="1"/>
    <col min="9" max="9" width="16.85546875" style="137" customWidth="1"/>
    <col min="10" max="10" width="16.5703125" style="137" customWidth="1"/>
    <col min="11" max="11" width="16.28515625" style="137" customWidth="1"/>
    <col min="12" max="14" width="11" style="137" hidden="1" customWidth="1"/>
    <col min="15" max="15" width="16.42578125" style="137" customWidth="1"/>
    <col min="16" max="16" width="17" style="137" customWidth="1"/>
    <col min="17" max="17" width="16" style="137" hidden="1" customWidth="1"/>
    <col min="18" max="19" width="11" style="137" hidden="1" customWidth="1"/>
    <col min="20" max="20" width="16.42578125" style="137" customWidth="1"/>
    <col min="21" max="21" width="16.140625" style="137" customWidth="1"/>
    <col min="22" max="22" width="16" style="137" customWidth="1"/>
    <col min="23" max="23" width="16.28515625" style="137" customWidth="1"/>
    <col min="24" max="24" width="14.5703125" style="137" customWidth="1"/>
    <col min="25" max="25" width="15.85546875" style="137" customWidth="1"/>
    <col min="26" max="26" width="15.140625" style="137" customWidth="1"/>
    <col min="27" max="27" width="16" style="137" customWidth="1"/>
    <col min="28" max="28" width="16.5703125" style="137" customWidth="1"/>
    <col min="29" max="29" width="9.140625" style="137"/>
    <col min="30" max="30" width="16.28515625" style="137" customWidth="1"/>
    <col min="31" max="31" width="14.85546875" style="137" customWidth="1"/>
    <col min="32" max="32" width="17.42578125" style="137" customWidth="1"/>
    <col min="33" max="252" width="9.140625" style="137"/>
    <col min="253" max="253" width="8.28515625" style="137" customWidth="1"/>
    <col min="254" max="254" width="26.140625" style="137" customWidth="1"/>
    <col min="255" max="257" width="11.28515625" style="137" customWidth="1"/>
    <col min="258" max="258" width="10.28515625" style="137" customWidth="1"/>
    <col min="259" max="259" width="15.5703125" style="137" customWidth="1"/>
    <col min="260" max="260" width="16" style="137" customWidth="1"/>
    <col min="261" max="263" width="0" style="137" hidden="1" customWidth="1"/>
    <col min="264" max="264" width="17.140625" style="137" customWidth="1"/>
    <col min="265" max="265" width="16.85546875" style="137" customWidth="1"/>
    <col min="266" max="266" width="16.5703125" style="137" customWidth="1"/>
    <col min="267" max="267" width="16.28515625" style="137" customWidth="1"/>
    <col min="268" max="270" width="0" style="137" hidden="1" customWidth="1"/>
    <col min="271" max="271" width="16.42578125" style="137" customWidth="1"/>
    <col min="272" max="272" width="17" style="137" customWidth="1"/>
    <col min="273" max="275" width="0" style="137" hidden="1" customWidth="1"/>
    <col min="276" max="276" width="16.42578125" style="137" customWidth="1"/>
    <col min="277" max="277" width="16.140625" style="137" customWidth="1"/>
    <col min="278" max="278" width="16" style="137" customWidth="1"/>
    <col min="279" max="279" width="16.28515625" style="137" customWidth="1"/>
    <col min="280" max="280" width="14.5703125" style="137" customWidth="1"/>
    <col min="281" max="281" width="15.85546875" style="137" customWidth="1"/>
    <col min="282" max="282" width="15.140625" style="137" customWidth="1"/>
    <col min="283" max="283" width="16" style="137" customWidth="1"/>
    <col min="284" max="284" width="16.5703125" style="137" customWidth="1"/>
    <col min="285" max="508" width="9.140625" style="137"/>
    <col min="509" max="509" width="8.28515625" style="137" customWidth="1"/>
    <col min="510" max="510" width="26.140625" style="137" customWidth="1"/>
    <col min="511" max="513" width="11.28515625" style="137" customWidth="1"/>
    <col min="514" max="514" width="10.28515625" style="137" customWidth="1"/>
    <col min="515" max="515" width="15.5703125" style="137" customWidth="1"/>
    <col min="516" max="516" width="16" style="137" customWidth="1"/>
    <col min="517" max="519" width="0" style="137" hidden="1" customWidth="1"/>
    <col min="520" max="520" width="17.140625" style="137" customWidth="1"/>
    <col min="521" max="521" width="16.85546875" style="137" customWidth="1"/>
    <col min="522" max="522" width="16.5703125" style="137" customWidth="1"/>
    <col min="523" max="523" width="16.28515625" style="137" customWidth="1"/>
    <col min="524" max="526" width="0" style="137" hidden="1" customWidth="1"/>
    <col min="527" max="527" width="16.42578125" style="137" customWidth="1"/>
    <col min="528" max="528" width="17" style="137" customWidth="1"/>
    <col min="529" max="531" width="0" style="137" hidden="1" customWidth="1"/>
    <col min="532" max="532" width="16.42578125" style="137" customWidth="1"/>
    <col min="533" max="533" width="16.140625" style="137" customWidth="1"/>
    <col min="534" max="534" width="16" style="137" customWidth="1"/>
    <col min="535" max="535" width="16.28515625" style="137" customWidth="1"/>
    <col min="536" max="536" width="14.5703125" style="137" customWidth="1"/>
    <col min="537" max="537" width="15.85546875" style="137" customWidth="1"/>
    <col min="538" max="538" width="15.140625" style="137" customWidth="1"/>
    <col min="539" max="539" width="16" style="137" customWidth="1"/>
    <col min="540" max="540" width="16.5703125" style="137" customWidth="1"/>
    <col min="541" max="764" width="9.140625" style="137"/>
    <col min="765" max="765" width="8.28515625" style="137" customWidth="1"/>
    <col min="766" max="766" width="26.140625" style="137" customWidth="1"/>
    <col min="767" max="769" width="11.28515625" style="137" customWidth="1"/>
    <col min="770" max="770" width="10.28515625" style="137" customWidth="1"/>
    <col min="771" max="771" width="15.5703125" style="137" customWidth="1"/>
    <col min="772" max="772" width="16" style="137" customWidth="1"/>
    <col min="773" max="775" width="0" style="137" hidden="1" customWidth="1"/>
    <col min="776" max="776" width="17.140625" style="137" customWidth="1"/>
    <col min="777" max="777" width="16.85546875" style="137" customWidth="1"/>
    <col min="778" max="778" width="16.5703125" style="137" customWidth="1"/>
    <col min="779" max="779" width="16.28515625" style="137" customWidth="1"/>
    <col min="780" max="782" width="0" style="137" hidden="1" customWidth="1"/>
    <col min="783" max="783" width="16.42578125" style="137" customWidth="1"/>
    <col min="784" max="784" width="17" style="137" customWidth="1"/>
    <col min="785" max="787" width="0" style="137" hidden="1" customWidth="1"/>
    <col min="788" max="788" width="16.42578125" style="137" customWidth="1"/>
    <col min="789" max="789" width="16.140625" style="137" customWidth="1"/>
    <col min="790" max="790" width="16" style="137" customWidth="1"/>
    <col min="791" max="791" width="16.28515625" style="137" customWidth="1"/>
    <col min="792" max="792" width="14.5703125" style="137" customWidth="1"/>
    <col min="793" max="793" width="15.85546875" style="137" customWidth="1"/>
    <col min="794" max="794" width="15.140625" style="137" customWidth="1"/>
    <col min="795" max="795" width="16" style="137" customWidth="1"/>
    <col min="796" max="796" width="16.5703125" style="137" customWidth="1"/>
    <col min="797" max="1020" width="9.140625" style="137"/>
    <col min="1021" max="1021" width="8.28515625" style="137" customWidth="1"/>
    <col min="1022" max="1022" width="26.140625" style="137" customWidth="1"/>
    <col min="1023" max="1025" width="11.28515625" style="137" customWidth="1"/>
    <col min="1026" max="1026" width="10.28515625" style="137" customWidth="1"/>
    <col min="1027" max="1027" width="15.5703125" style="137" customWidth="1"/>
    <col min="1028" max="1028" width="16" style="137" customWidth="1"/>
    <col min="1029" max="1031" width="0" style="137" hidden="1" customWidth="1"/>
    <col min="1032" max="1032" width="17.140625" style="137" customWidth="1"/>
    <col min="1033" max="1033" width="16.85546875" style="137" customWidth="1"/>
    <col min="1034" max="1034" width="16.5703125" style="137" customWidth="1"/>
    <col min="1035" max="1035" width="16.28515625" style="137" customWidth="1"/>
    <col min="1036" max="1038" width="0" style="137" hidden="1" customWidth="1"/>
    <col min="1039" max="1039" width="16.42578125" style="137" customWidth="1"/>
    <col min="1040" max="1040" width="17" style="137" customWidth="1"/>
    <col min="1041" max="1043" width="0" style="137" hidden="1" customWidth="1"/>
    <col min="1044" max="1044" width="16.42578125" style="137" customWidth="1"/>
    <col min="1045" max="1045" width="16.140625" style="137" customWidth="1"/>
    <col min="1046" max="1046" width="16" style="137" customWidth="1"/>
    <col min="1047" max="1047" width="16.28515625" style="137" customWidth="1"/>
    <col min="1048" max="1048" width="14.5703125" style="137" customWidth="1"/>
    <col min="1049" max="1049" width="15.85546875" style="137" customWidth="1"/>
    <col min="1050" max="1050" width="15.140625" style="137" customWidth="1"/>
    <col min="1051" max="1051" width="16" style="137" customWidth="1"/>
    <col min="1052" max="1052" width="16.5703125" style="137" customWidth="1"/>
    <col min="1053" max="1276" width="9.140625" style="137"/>
    <col min="1277" max="1277" width="8.28515625" style="137" customWidth="1"/>
    <col min="1278" max="1278" width="26.140625" style="137" customWidth="1"/>
    <col min="1279" max="1281" width="11.28515625" style="137" customWidth="1"/>
    <col min="1282" max="1282" width="10.28515625" style="137" customWidth="1"/>
    <col min="1283" max="1283" width="15.5703125" style="137" customWidth="1"/>
    <col min="1284" max="1284" width="16" style="137" customWidth="1"/>
    <col min="1285" max="1287" width="0" style="137" hidden="1" customWidth="1"/>
    <col min="1288" max="1288" width="17.140625" style="137" customWidth="1"/>
    <col min="1289" max="1289" width="16.85546875" style="137" customWidth="1"/>
    <col min="1290" max="1290" width="16.5703125" style="137" customWidth="1"/>
    <col min="1291" max="1291" width="16.28515625" style="137" customWidth="1"/>
    <col min="1292" max="1294" width="0" style="137" hidden="1" customWidth="1"/>
    <col min="1295" max="1295" width="16.42578125" style="137" customWidth="1"/>
    <col min="1296" max="1296" width="17" style="137" customWidth="1"/>
    <col min="1297" max="1299" width="0" style="137" hidden="1" customWidth="1"/>
    <col min="1300" max="1300" width="16.42578125" style="137" customWidth="1"/>
    <col min="1301" max="1301" width="16.140625" style="137" customWidth="1"/>
    <col min="1302" max="1302" width="16" style="137" customWidth="1"/>
    <col min="1303" max="1303" width="16.28515625" style="137" customWidth="1"/>
    <col min="1304" max="1304" width="14.5703125" style="137" customWidth="1"/>
    <col min="1305" max="1305" width="15.85546875" style="137" customWidth="1"/>
    <col min="1306" max="1306" width="15.140625" style="137" customWidth="1"/>
    <col min="1307" max="1307" width="16" style="137" customWidth="1"/>
    <col min="1308" max="1308" width="16.5703125" style="137" customWidth="1"/>
    <col min="1309" max="1532" width="9.140625" style="137"/>
    <col min="1533" max="1533" width="8.28515625" style="137" customWidth="1"/>
    <col min="1534" max="1534" width="26.140625" style="137" customWidth="1"/>
    <col min="1535" max="1537" width="11.28515625" style="137" customWidth="1"/>
    <col min="1538" max="1538" width="10.28515625" style="137" customWidth="1"/>
    <col min="1539" max="1539" width="15.5703125" style="137" customWidth="1"/>
    <col min="1540" max="1540" width="16" style="137" customWidth="1"/>
    <col min="1541" max="1543" width="0" style="137" hidden="1" customWidth="1"/>
    <col min="1544" max="1544" width="17.140625" style="137" customWidth="1"/>
    <col min="1545" max="1545" width="16.85546875" style="137" customWidth="1"/>
    <col min="1546" max="1546" width="16.5703125" style="137" customWidth="1"/>
    <col min="1547" max="1547" width="16.28515625" style="137" customWidth="1"/>
    <col min="1548" max="1550" width="0" style="137" hidden="1" customWidth="1"/>
    <col min="1551" max="1551" width="16.42578125" style="137" customWidth="1"/>
    <col min="1552" max="1552" width="17" style="137" customWidth="1"/>
    <col min="1553" max="1555" width="0" style="137" hidden="1" customWidth="1"/>
    <col min="1556" max="1556" width="16.42578125" style="137" customWidth="1"/>
    <col min="1557" max="1557" width="16.140625" style="137" customWidth="1"/>
    <col min="1558" max="1558" width="16" style="137" customWidth="1"/>
    <col min="1559" max="1559" width="16.28515625" style="137" customWidth="1"/>
    <col min="1560" max="1560" width="14.5703125" style="137" customWidth="1"/>
    <col min="1561" max="1561" width="15.85546875" style="137" customWidth="1"/>
    <col min="1562" max="1562" width="15.140625" style="137" customWidth="1"/>
    <col min="1563" max="1563" width="16" style="137" customWidth="1"/>
    <col min="1564" max="1564" width="16.5703125" style="137" customWidth="1"/>
    <col min="1565" max="1788" width="9.140625" style="137"/>
    <col min="1789" max="1789" width="8.28515625" style="137" customWidth="1"/>
    <col min="1790" max="1790" width="26.140625" style="137" customWidth="1"/>
    <col min="1791" max="1793" width="11.28515625" style="137" customWidth="1"/>
    <col min="1794" max="1794" width="10.28515625" style="137" customWidth="1"/>
    <col min="1795" max="1795" width="15.5703125" style="137" customWidth="1"/>
    <col min="1796" max="1796" width="16" style="137" customWidth="1"/>
    <col min="1797" max="1799" width="0" style="137" hidden="1" customWidth="1"/>
    <col min="1800" max="1800" width="17.140625" style="137" customWidth="1"/>
    <col min="1801" max="1801" width="16.85546875" style="137" customWidth="1"/>
    <col min="1802" max="1802" width="16.5703125" style="137" customWidth="1"/>
    <col min="1803" max="1803" width="16.28515625" style="137" customWidth="1"/>
    <col min="1804" max="1806" width="0" style="137" hidden="1" customWidth="1"/>
    <col min="1807" max="1807" width="16.42578125" style="137" customWidth="1"/>
    <col min="1808" max="1808" width="17" style="137" customWidth="1"/>
    <col min="1809" max="1811" width="0" style="137" hidden="1" customWidth="1"/>
    <col min="1812" max="1812" width="16.42578125" style="137" customWidth="1"/>
    <col min="1813" max="1813" width="16.140625" style="137" customWidth="1"/>
    <col min="1814" max="1814" width="16" style="137" customWidth="1"/>
    <col min="1815" max="1815" width="16.28515625" style="137" customWidth="1"/>
    <col min="1816" max="1816" width="14.5703125" style="137" customWidth="1"/>
    <col min="1817" max="1817" width="15.85546875" style="137" customWidth="1"/>
    <col min="1818" max="1818" width="15.140625" style="137" customWidth="1"/>
    <col min="1819" max="1819" width="16" style="137" customWidth="1"/>
    <col min="1820" max="1820" width="16.5703125" style="137" customWidth="1"/>
    <col min="1821" max="2044" width="9.140625" style="137"/>
    <col min="2045" max="2045" width="8.28515625" style="137" customWidth="1"/>
    <col min="2046" max="2046" width="26.140625" style="137" customWidth="1"/>
    <col min="2047" max="2049" width="11.28515625" style="137" customWidth="1"/>
    <col min="2050" max="2050" width="10.28515625" style="137" customWidth="1"/>
    <col min="2051" max="2051" width="15.5703125" style="137" customWidth="1"/>
    <col min="2052" max="2052" width="16" style="137" customWidth="1"/>
    <col min="2053" max="2055" width="0" style="137" hidden="1" customWidth="1"/>
    <col min="2056" max="2056" width="17.140625" style="137" customWidth="1"/>
    <col min="2057" max="2057" width="16.85546875" style="137" customWidth="1"/>
    <col min="2058" max="2058" width="16.5703125" style="137" customWidth="1"/>
    <col min="2059" max="2059" width="16.28515625" style="137" customWidth="1"/>
    <col min="2060" max="2062" width="0" style="137" hidden="1" customWidth="1"/>
    <col min="2063" max="2063" width="16.42578125" style="137" customWidth="1"/>
    <col min="2064" max="2064" width="17" style="137" customWidth="1"/>
    <col min="2065" max="2067" width="0" style="137" hidden="1" customWidth="1"/>
    <col min="2068" max="2068" width="16.42578125" style="137" customWidth="1"/>
    <col min="2069" max="2069" width="16.140625" style="137" customWidth="1"/>
    <col min="2070" max="2070" width="16" style="137" customWidth="1"/>
    <col min="2071" max="2071" width="16.28515625" style="137" customWidth="1"/>
    <col min="2072" max="2072" width="14.5703125" style="137" customWidth="1"/>
    <col min="2073" max="2073" width="15.85546875" style="137" customWidth="1"/>
    <col min="2074" max="2074" width="15.140625" style="137" customWidth="1"/>
    <col min="2075" max="2075" width="16" style="137" customWidth="1"/>
    <col min="2076" max="2076" width="16.5703125" style="137" customWidth="1"/>
    <col min="2077" max="2300" width="9.140625" style="137"/>
    <col min="2301" max="2301" width="8.28515625" style="137" customWidth="1"/>
    <col min="2302" max="2302" width="26.140625" style="137" customWidth="1"/>
    <col min="2303" max="2305" width="11.28515625" style="137" customWidth="1"/>
    <col min="2306" max="2306" width="10.28515625" style="137" customWidth="1"/>
    <col min="2307" max="2307" width="15.5703125" style="137" customWidth="1"/>
    <col min="2308" max="2308" width="16" style="137" customWidth="1"/>
    <col min="2309" max="2311" width="0" style="137" hidden="1" customWidth="1"/>
    <col min="2312" max="2312" width="17.140625" style="137" customWidth="1"/>
    <col min="2313" max="2313" width="16.85546875" style="137" customWidth="1"/>
    <col min="2314" max="2314" width="16.5703125" style="137" customWidth="1"/>
    <col min="2315" max="2315" width="16.28515625" style="137" customWidth="1"/>
    <col min="2316" max="2318" width="0" style="137" hidden="1" customWidth="1"/>
    <col min="2319" max="2319" width="16.42578125" style="137" customWidth="1"/>
    <col min="2320" max="2320" width="17" style="137" customWidth="1"/>
    <col min="2321" max="2323" width="0" style="137" hidden="1" customWidth="1"/>
    <col min="2324" max="2324" width="16.42578125" style="137" customWidth="1"/>
    <col min="2325" max="2325" width="16.140625" style="137" customWidth="1"/>
    <col min="2326" max="2326" width="16" style="137" customWidth="1"/>
    <col min="2327" max="2327" width="16.28515625" style="137" customWidth="1"/>
    <col min="2328" max="2328" width="14.5703125" style="137" customWidth="1"/>
    <col min="2329" max="2329" width="15.85546875" style="137" customWidth="1"/>
    <col min="2330" max="2330" width="15.140625" style="137" customWidth="1"/>
    <col min="2331" max="2331" width="16" style="137" customWidth="1"/>
    <col min="2332" max="2332" width="16.5703125" style="137" customWidth="1"/>
    <col min="2333" max="2556" width="9.140625" style="137"/>
    <col min="2557" max="2557" width="8.28515625" style="137" customWidth="1"/>
    <col min="2558" max="2558" width="26.140625" style="137" customWidth="1"/>
    <col min="2559" max="2561" width="11.28515625" style="137" customWidth="1"/>
    <col min="2562" max="2562" width="10.28515625" style="137" customWidth="1"/>
    <col min="2563" max="2563" width="15.5703125" style="137" customWidth="1"/>
    <col min="2564" max="2564" width="16" style="137" customWidth="1"/>
    <col min="2565" max="2567" width="0" style="137" hidden="1" customWidth="1"/>
    <col min="2568" max="2568" width="17.140625" style="137" customWidth="1"/>
    <col min="2569" max="2569" width="16.85546875" style="137" customWidth="1"/>
    <col min="2570" max="2570" width="16.5703125" style="137" customWidth="1"/>
    <col min="2571" max="2571" width="16.28515625" style="137" customWidth="1"/>
    <col min="2572" max="2574" width="0" style="137" hidden="1" customWidth="1"/>
    <col min="2575" max="2575" width="16.42578125" style="137" customWidth="1"/>
    <col min="2576" max="2576" width="17" style="137" customWidth="1"/>
    <col min="2577" max="2579" width="0" style="137" hidden="1" customWidth="1"/>
    <col min="2580" max="2580" width="16.42578125" style="137" customWidth="1"/>
    <col min="2581" max="2581" width="16.140625" style="137" customWidth="1"/>
    <col min="2582" max="2582" width="16" style="137" customWidth="1"/>
    <col min="2583" max="2583" width="16.28515625" style="137" customWidth="1"/>
    <col min="2584" max="2584" width="14.5703125" style="137" customWidth="1"/>
    <col min="2585" max="2585" width="15.85546875" style="137" customWidth="1"/>
    <col min="2586" max="2586" width="15.140625" style="137" customWidth="1"/>
    <col min="2587" max="2587" width="16" style="137" customWidth="1"/>
    <col min="2588" max="2588" width="16.5703125" style="137" customWidth="1"/>
    <col min="2589" max="2812" width="9.140625" style="137"/>
    <col min="2813" max="2813" width="8.28515625" style="137" customWidth="1"/>
    <col min="2814" max="2814" width="26.140625" style="137" customWidth="1"/>
    <col min="2815" max="2817" width="11.28515625" style="137" customWidth="1"/>
    <col min="2818" max="2818" width="10.28515625" style="137" customWidth="1"/>
    <col min="2819" max="2819" width="15.5703125" style="137" customWidth="1"/>
    <col min="2820" max="2820" width="16" style="137" customWidth="1"/>
    <col min="2821" max="2823" width="0" style="137" hidden="1" customWidth="1"/>
    <col min="2824" max="2824" width="17.140625" style="137" customWidth="1"/>
    <col min="2825" max="2825" width="16.85546875" style="137" customWidth="1"/>
    <col min="2826" max="2826" width="16.5703125" style="137" customWidth="1"/>
    <col min="2827" max="2827" width="16.28515625" style="137" customWidth="1"/>
    <col min="2828" max="2830" width="0" style="137" hidden="1" customWidth="1"/>
    <col min="2831" max="2831" width="16.42578125" style="137" customWidth="1"/>
    <col min="2832" max="2832" width="17" style="137" customWidth="1"/>
    <col min="2833" max="2835" width="0" style="137" hidden="1" customWidth="1"/>
    <col min="2836" max="2836" width="16.42578125" style="137" customWidth="1"/>
    <col min="2837" max="2837" width="16.140625" style="137" customWidth="1"/>
    <col min="2838" max="2838" width="16" style="137" customWidth="1"/>
    <col min="2839" max="2839" width="16.28515625" style="137" customWidth="1"/>
    <col min="2840" max="2840" width="14.5703125" style="137" customWidth="1"/>
    <col min="2841" max="2841" width="15.85546875" style="137" customWidth="1"/>
    <col min="2842" max="2842" width="15.140625" style="137" customWidth="1"/>
    <col min="2843" max="2843" width="16" style="137" customWidth="1"/>
    <col min="2844" max="2844" width="16.5703125" style="137" customWidth="1"/>
    <col min="2845" max="3068" width="9.140625" style="137"/>
    <col min="3069" max="3069" width="8.28515625" style="137" customWidth="1"/>
    <col min="3070" max="3070" width="26.140625" style="137" customWidth="1"/>
    <col min="3071" max="3073" width="11.28515625" style="137" customWidth="1"/>
    <col min="3074" max="3074" width="10.28515625" style="137" customWidth="1"/>
    <col min="3075" max="3075" width="15.5703125" style="137" customWidth="1"/>
    <col min="3076" max="3076" width="16" style="137" customWidth="1"/>
    <col min="3077" max="3079" width="0" style="137" hidden="1" customWidth="1"/>
    <col min="3080" max="3080" width="17.140625" style="137" customWidth="1"/>
    <col min="3081" max="3081" width="16.85546875" style="137" customWidth="1"/>
    <col min="3082" max="3082" width="16.5703125" style="137" customWidth="1"/>
    <col min="3083" max="3083" width="16.28515625" style="137" customWidth="1"/>
    <col min="3084" max="3086" width="0" style="137" hidden="1" customWidth="1"/>
    <col min="3087" max="3087" width="16.42578125" style="137" customWidth="1"/>
    <col min="3088" max="3088" width="17" style="137" customWidth="1"/>
    <col min="3089" max="3091" width="0" style="137" hidden="1" customWidth="1"/>
    <col min="3092" max="3092" width="16.42578125" style="137" customWidth="1"/>
    <col min="3093" max="3093" width="16.140625" style="137" customWidth="1"/>
    <col min="3094" max="3094" width="16" style="137" customWidth="1"/>
    <col min="3095" max="3095" width="16.28515625" style="137" customWidth="1"/>
    <col min="3096" max="3096" width="14.5703125" style="137" customWidth="1"/>
    <col min="3097" max="3097" width="15.85546875" style="137" customWidth="1"/>
    <col min="3098" max="3098" width="15.140625" style="137" customWidth="1"/>
    <col min="3099" max="3099" width="16" style="137" customWidth="1"/>
    <col min="3100" max="3100" width="16.5703125" style="137" customWidth="1"/>
    <col min="3101" max="3324" width="9.140625" style="137"/>
    <col min="3325" max="3325" width="8.28515625" style="137" customWidth="1"/>
    <col min="3326" max="3326" width="26.140625" style="137" customWidth="1"/>
    <col min="3327" max="3329" width="11.28515625" style="137" customWidth="1"/>
    <col min="3330" max="3330" width="10.28515625" style="137" customWidth="1"/>
    <col min="3331" max="3331" width="15.5703125" style="137" customWidth="1"/>
    <col min="3332" max="3332" width="16" style="137" customWidth="1"/>
    <col min="3333" max="3335" width="0" style="137" hidden="1" customWidth="1"/>
    <col min="3336" max="3336" width="17.140625" style="137" customWidth="1"/>
    <col min="3337" max="3337" width="16.85546875" style="137" customWidth="1"/>
    <col min="3338" max="3338" width="16.5703125" style="137" customWidth="1"/>
    <col min="3339" max="3339" width="16.28515625" style="137" customWidth="1"/>
    <col min="3340" max="3342" width="0" style="137" hidden="1" customWidth="1"/>
    <col min="3343" max="3343" width="16.42578125" style="137" customWidth="1"/>
    <col min="3344" max="3344" width="17" style="137" customWidth="1"/>
    <col min="3345" max="3347" width="0" style="137" hidden="1" customWidth="1"/>
    <col min="3348" max="3348" width="16.42578125" style="137" customWidth="1"/>
    <col min="3349" max="3349" width="16.140625" style="137" customWidth="1"/>
    <col min="3350" max="3350" width="16" style="137" customWidth="1"/>
    <col min="3351" max="3351" width="16.28515625" style="137" customWidth="1"/>
    <col min="3352" max="3352" width="14.5703125" style="137" customWidth="1"/>
    <col min="3353" max="3353" width="15.85546875" style="137" customWidth="1"/>
    <col min="3354" max="3354" width="15.140625" style="137" customWidth="1"/>
    <col min="3355" max="3355" width="16" style="137" customWidth="1"/>
    <col min="3356" max="3356" width="16.5703125" style="137" customWidth="1"/>
    <col min="3357" max="3580" width="9.140625" style="137"/>
    <col min="3581" max="3581" width="8.28515625" style="137" customWidth="1"/>
    <col min="3582" max="3582" width="26.140625" style="137" customWidth="1"/>
    <col min="3583" max="3585" width="11.28515625" style="137" customWidth="1"/>
    <col min="3586" max="3586" width="10.28515625" style="137" customWidth="1"/>
    <col min="3587" max="3587" width="15.5703125" style="137" customWidth="1"/>
    <col min="3588" max="3588" width="16" style="137" customWidth="1"/>
    <col min="3589" max="3591" width="0" style="137" hidden="1" customWidth="1"/>
    <col min="3592" max="3592" width="17.140625" style="137" customWidth="1"/>
    <col min="3593" max="3593" width="16.85546875" style="137" customWidth="1"/>
    <col min="3594" max="3594" width="16.5703125" style="137" customWidth="1"/>
    <col min="3595" max="3595" width="16.28515625" style="137" customWidth="1"/>
    <col min="3596" max="3598" width="0" style="137" hidden="1" customWidth="1"/>
    <col min="3599" max="3599" width="16.42578125" style="137" customWidth="1"/>
    <col min="3600" max="3600" width="17" style="137" customWidth="1"/>
    <col min="3601" max="3603" width="0" style="137" hidden="1" customWidth="1"/>
    <col min="3604" max="3604" width="16.42578125" style="137" customWidth="1"/>
    <col min="3605" max="3605" width="16.140625" style="137" customWidth="1"/>
    <col min="3606" max="3606" width="16" style="137" customWidth="1"/>
    <col min="3607" max="3607" width="16.28515625" style="137" customWidth="1"/>
    <col min="3608" max="3608" width="14.5703125" style="137" customWidth="1"/>
    <col min="3609" max="3609" width="15.85546875" style="137" customWidth="1"/>
    <col min="3610" max="3610" width="15.140625" style="137" customWidth="1"/>
    <col min="3611" max="3611" width="16" style="137" customWidth="1"/>
    <col min="3612" max="3612" width="16.5703125" style="137" customWidth="1"/>
    <col min="3613" max="3836" width="9.140625" style="137"/>
    <col min="3837" max="3837" width="8.28515625" style="137" customWidth="1"/>
    <col min="3838" max="3838" width="26.140625" style="137" customWidth="1"/>
    <col min="3839" max="3841" width="11.28515625" style="137" customWidth="1"/>
    <col min="3842" max="3842" width="10.28515625" style="137" customWidth="1"/>
    <col min="3843" max="3843" width="15.5703125" style="137" customWidth="1"/>
    <col min="3844" max="3844" width="16" style="137" customWidth="1"/>
    <col min="3845" max="3847" width="0" style="137" hidden="1" customWidth="1"/>
    <col min="3848" max="3848" width="17.140625" style="137" customWidth="1"/>
    <col min="3849" max="3849" width="16.85546875" style="137" customWidth="1"/>
    <col min="3850" max="3850" width="16.5703125" style="137" customWidth="1"/>
    <col min="3851" max="3851" width="16.28515625" style="137" customWidth="1"/>
    <col min="3852" max="3854" width="0" style="137" hidden="1" customWidth="1"/>
    <col min="3855" max="3855" width="16.42578125" style="137" customWidth="1"/>
    <col min="3856" max="3856" width="17" style="137" customWidth="1"/>
    <col min="3857" max="3859" width="0" style="137" hidden="1" customWidth="1"/>
    <col min="3860" max="3860" width="16.42578125" style="137" customWidth="1"/>
    <col min="3861" max="3861" width="16.140625" style="137" customWidth="1"/>
    <col min="3862" max="3862" width="16" style="137" customWidth="1"/>
    <col min="3863" max="3863" width="16.28515625" style="137" customWidth="1"/>
    <col min="3864" max="3864" width="14.5703125" style="137" customWidth="1"/>
    <col min="3865" max="3865" width="15.85546875" style="137" customWidth="1"/>
    <col min="3866" max="3866" width="15.140625" style="137" customWidth="1"/>
    <col min="3867" max="3867" width="16" style="137" customWidth="1"/>
    <col min="3868" max="3868" width="16.5703125" style="137" customWidth="1"/>
    <col min="3869" max="4092" width="9.140625" style="137"/>
    <col min="4093" max="4093" width="8.28515625" style="137" customWidth="1"/>
    <col min="4094" max="4094" width="26.140625" style="137" customWidth="1"/>
    <col min="4095" max="4097" width="11.28515625" style="137" customWidth="1"/>
    <col min="4098" max="4098" width="10.28515625" style="137" customWidth="1"/>
    <col min="4099" max="4099" width="15.5703125" style="137" customWidth="1"/>
    <col min="4100" max="4100" width="16" style="137" customWidth="1"/>
    <col min="4101" max="4103" width="0" style="137" hidden="1" customWidth="1"/>
    <col min="4104" max="4104" width="17.140625" style="137" customWidth="1"/>
    <col min="4105" max="4105" width="16.85546875" style="137" customWidth="1"/>
    <col min="4106" max="4106" width="16.5703125" style="137" customWidth="1"/>
    <col min="4107" max="4107" width="16.28515625" style="137" customWidth="1"/>
    <col min="4108" max="4110" width="0" style="137" hidden="1" customWidth="1"/>
    <col min="4111" max="4111" width="16.42578125" style="137" customWidth="1"/>
    <col min="4112" max="4112" width="17" style="137" customWidth="1"/>
    <col min="4113" max="4115" width="0" style="137" hidden="1" customWidth="1"/>
    <col min="4116" max="4116" width="16.42578125" style="137" customWidth="1"/>
    <col min="4117" max="4117" width="16.140625" style="137" customWidth="1"/>
    <col min="4118" max="4118" width="16" style="137" customWidth="1"/>
    <col min="4119" max="4119" width="16.28515625" style="137" customWidth="1"/>
    <col min="4120" max="4120" width="14.5703125" style="137" customWidth="1"/>
    <col min="4121" max="4121" width="15.85546875" style="137" customWidth="1"/>
    <col min="4122" max="4122" width="15.140625" style="137" customWidth="1"/>
    <col min="4123" max="4123" width="16" style="137" customWidth="1"/>
    <col min="4124" max="4124" width="16.5703125" style="137" customWidth="1"/>
    <col min="4125" max="4348" width="9.140625" style="137"/>
    <col min="4349" max="4349" width="8.28515625" style="137" customWidth="1"/>
    <col min="4350" max="4350" width="26.140625" style="137" customWidth="1"/>
    <col min="4351" max="4353" width="11.28515625" style="137" customWidth="1"/>
    <col min="4354" max="4354" width="10.28515625" style="137" customWidth="1"/>
    <col min="4355" max="4355" width="15.5703125" style="137" customWidth="1"/>
    <col min="4356" max="4356" width="16" style="137" customWidth="1"/>
    <col min="4357" max="4359" width="0" style="137" hidden="1" customWidth="1"/>
    <col min="4360" max="4360" width="17.140625" style="137" customWidth="1"/>
    <col min="4361" max="4361" width="16.85546875" style="137" customWidth="1"/>
    <col min="4362" max="4362" width="16.5703125" style="137" customWidth="1"/>
    <col min="4363" max="4363" width="16.28515625" style="137" customWidth="1"/>
    <col min="4364" max="4366" width="0" style="137" hidden="1" customWidth="1"/>
    <col min="4367" max="4367" width="16.42578125" style="137" customWidth="1"/>
    <col min="4368" max="4368" width="17" style="137" customWidth="1"/>
    <col min="4369" max="4371" width="0" style="137" hidden="1" customWidth="1"/>
    <col min="4372" max="4372" width="16.42578125" style="137" customWidth="1"/>
    <col min="4373" max="4373" width="16.140625" style="137" customWidth="1"/>
    <col min="4374" max="4374" width="16" style="137" customWidth="1"/>
    <col min="4375" max="4375" width="16.28515625" style="137" customWidth="1"/>
    <col min="4376" max="4376" width="14.5703125" style="137" customWidth="1"/>
    <col min="4377" max="4377" width="15.85546875" style="137" customWidth="1"/>
    <col min="4378" max="4378" width="15.140625" style="137" customWidth="1"/>
    <col min="4379" max="4379" width="16" style="137" customWidth="1"/>
    <col min="4380" max="4380" width="16.5703125" style="137" customWidth="1"/>
    <col min="4381" max="4604" width="9.140625" style="137"/>
    <col min="4605" max="4605" width="8.28515625" style="137" customWidth="1"/>
    <col min="4606" max="4606" width="26.140625" style="137" customWidth="1"/>
    <col min="4607" max="4609" width="11.28515625" style="137" customWidth="1"/>
    <col min="4610" max="4610" width="10.28515625" style="137" customWidth="1"/>
    <col min="4611" max="4611" width="15.5703125" style="137" customWidth="1"/>
    <col min="4612" max="4612" width="16" style="137" customWidth="1"/>
    <col min="4613" max="4615" width="0" style="137" hidden="1" customWidth="1"/>
    <col min="4616" max="4616" width="17.140625" style="137" customWidth="1"/>
    <col min="4617" max="4617" width="16.85546875" style="137" customWidth="1"/>
    <col min="4618" max="4618" width="16.5703125" style="137" customWidth="1"/>
    <col min="4619" max="4619" width="16.28515625" style="137" customWidth="1"/>
    <col min="4620" max="4622" width="0" style="137" hidden="1" customWidth="1"/>
    <col min="4623" max="4623" width="16.42578125" style="137" customWidth="1"/>
    <col min="4624" max="4624" width="17" style="137" customWidth="1"/>
    <col min="4625" max="4627" width="0" style="137" hidden="1" customWidth="1"/>
    <col min="4628" max="4628" width="16.42578125" style="137" customWidth="1"/>
    <col min="4629" max="4629" width="16.140625" style="137" customWidth="1"/>
    <col min="4630" max="4630" width="16" style="137" customWidth="1"/>
    <col min="4631" max="4631" width="16.28515625" style="137" customWidth="1"/>
    <col min="4632" max="4632" width="14.5703125" style="137" customWidth="1"/>
    <col min="4633" max="4633" width="15.85546875" style="137" customWidth="1"/>
    <col min="4634" max="4634" width="15.140625" style="137" customWidth="1"/>
    <col min="4635" max="4635" width="16" style="137" customWidth="1"/>
    <col min="4636" max="4636" width="16.5703125" style="137" customWidth="1"/>
    <col min="4637" max="4860" width="9.140625" style="137"/>
    <col min="4861" max="4861" width="8.28515625" style="137" customWidth="1"/>
    <col min="4862" max="4862" width="26.140625" style="137" customWidth="1"/>
    <col min="4863" max="4865" width="11.28515625" style="137" customWidth="1"/>
    <col min="4866" max="4866" width="10.28515625" style="137" customWidth="1"/>
    <col min="4867" max="4867" width="15.5703125" style="137" customWidth="1"/>
    <col min="4868" max="4868" width="16" style="137" customWidth="1"/>
    <col min="4869" max="4871" width="0" style="137" hidden="1" customWidth="1"/>
    <col min="4872" max="4872" width="17.140625" style="137" customWidth="1"/>
    <col min="4873" max="4873" width="16.85546875" style="137" customWidth="1"/>
    <col min="4874" max="4874" width="16.5703125" style="137" customWidth="1"/>
    <col min="4875" max="4875" width="16.28515625" style="137" customWidth="1"/>
    <col min="4876" max="4878" width="0" style="137" hidden="1" customWidth="1"/>
    <col min="4879" max="4879" width="16.42578125" style="137" customWidth="1"/>
    <col min="4880" max="4880" width="17" style="137" customWidth="1"/>
    <col min="4881" max="4883" width="0" style="137" hidden="1" customWidth="1"/>
    <col min="4884" max="4884" width="16.42578125" style="137" customWidth="1"/>
    <col min="4885" max="4885" width="16.140625" style="137" customWidth="1"/>
    <col min="4886" max="4886" width="16" style="137" customWidth="1"/>
    <col min="4887" max="4887" width="16.28515625" style="137" customWidth="1"/>
    <col min="4888" max="4888" width="14.5703125" style="137" customWidth="1"/>
    <col min="4889" max="4889" width="15.85546875" style="137" customWidth="1"/>
    <col min="4890" max="4890" width="15.140625" style="137" customWidth="1"/>
    <col min="4891" max="4891" width="16" style="137" customWidth="1"/>
    <col min="4892" max="4892" width="16.5703125" style="137" customWidth="1"/>
    <col min="4893" max="5116" width="9.140625" style="137"/>
    <col min="5117" max="5117" width="8.28515625" style="137" customWidth="1"/>
    <col min="5118" max="5118" width="26.140625" style="137" customWidth="1"/>
    <col min="5119" max="5121" width="11.28515625" style="137" customWidth="1"/>
    <col min="5122" max="5122" width="10.28515625" style="137" customWidth="1"/>
    <col min="5123" max="5123" width="15.5703125" style="137" customWidth="1"/>
    <col min="5124" max="5124" width="16" style="137" customWidth="1"/>
    <col min="5125" max="5127" width="0" style="137" hidden="1" customWidth="1"/>
    <col min="5128" max="5128" width="17.140625" style="137" customWidth="1"/>
    <col min="5129" max="5129" width="16.85546875" style="137" customWidth="1"/>
    <col min="5130" max="5130" width="16.5703125" style="137" customWidth="1"/>
    <col min="5131" max="5131" width="16.28515625" style="137" customWidth="1"/>
    <col min="5132" max="5134" width="0" style="137" hidden="1" customWidth="1"/>
    <col min="5135" max="5135" width="16.42578125" style="137" customWidth="1"/>
    <col min="5136" max="5136" width="17" style="137" customWidth="1"/>
    <col min="5137" max="5139" width="0" style="137" hidden="1" customWidth="1"/>
    <col min="5140" max="5140" width="16.42578125" style="137" customWidth="1"/>
    <col min="5141" max="5141" width="16.140625" style="137" customWidth="1"/>
    <col min="5142" max="5142" width="16" style="137" customWidth="1"/>
    <col min="5143" max="5143" width="16.28515625" style="137" customWidth="1"/>
    <col min="5144" max="5144" width="14.5703125" style="137" customWidth="1"/>
    <col min="5145" max="5145" width="15.85546875" style="137" customWidth="1"/>
    <col min="5146" max="5146" width="15.140625" style="137" customWidth="1"/>
    <col min="5147" max="5147" width="16" style="137" customWidth="1"/>
    <col min="5148" max="5148" width="16.5703125" style="137" customWidth="1"/>
    <col min="5149" max="5372" width="9.140625" style="137"/>
    <col min="5373" max="5373" width="8.28515625" style="137" customWidth="1"/>
    <col min="5374" max="5374" width="26.140625" style="137" customWidth="1"/>
    <col min="5375" max="5377" width="11.28515625" style="137" customWidth="1"/>
    <col min="5378" max="5378" width="10.28515625" style="137" customWidth="1"/>
    <col min="5379" max="5379" width="15.5703125" style="137" customWidth="1"/>
    <col min="5380" max="5380" width="16" style="137" customWidth="1"/>
    <col min="5381" max="5383" width="0" style="137" hidden="1" customWidth="1"/>
    <col min="5384" max="5384" width="17.140625" style="137" customWidth="1"/>
    <col min="5385" max="5385" width="16.85546875" style="137" customWidth="1"/>
    <col min="5386" max="5386" width="16.5703125" style="137" customWidth="1"/>
    <col min="5387" max="5387" width="16.28515625" style="137" customWidth="1"/>
    <col min="5388" max="5390" width="0" style="137" hidden="1" customWidth="1"/>
    <col min="5391" max="5391" width="16.42578125" style="137" customWidth="1"/>
    <col min="5392" max="5392" width="17" style="137" customWidth="1"/>
    <col min="5393" max="5395" width="0" style="137" hidden="1" customWidth="1"/>
    <col min="5396" max="5396" width="16.42578125" style="137" customWidth="1"/>
    <col min="5397" max="5397" width="16.140625" style="137" customWidth="1"/>
    <col min="5398" max="5398" width="16" style="137" customWidth="1"/>
    <col min="5399" max="5399" width="16.28515625" style="137" customWidth="1"/>
    <col min="5400" max="5400" width="14.5703125" style="137" customWidth="1"/>
    <col min="5401" max="5401" width="15.85546875" style="137" customWidth="1"/>
    <col min="5402" max="5402" width="15.140625" style="137" customWidth="1"/>
    <col min="5403" max="5403" width="16" style="137" customWidth="1"/>
    <col min="5404" max="5404" width="16.5703125" style="137" customWidth="1"/>
    <col min="5405" max="5628" width="9.140625" style="137"/>
    <col min="5629" max="5629" width="8.28515625" style="137" customWidth="1"/>
    <col min="5630" max="5630" width="26.140625" style="137" customWidth="1"/>
    <col min="5631" max="5633" width="11.28515625" style="137" customWidth="1"/>
    <col min="5634" max="5634" width="10.28515625" style="137" customWidth="1"/>
    <col min="5635" max="5635" width="15.5703125" style="137" customWidth="1"/>
    <col min="5636" max="5636" width="16" style="137" customWidth="1"/>
    <col min="5637" max="5639" width="0" style="137" hidden="1" customWidth="1"/>
    <col min="5640" max="5640" width="17.140625" style="137" customWidth="1"/>
    <col min="5641" max="5641" width="16.85546875" style="137" customWidth="1"/>
    <col min="5642" max="5642" width="16.5703125" style="137" customWidth="1"/>
    <col min="5643" max="5643" width="16.28515625" style="137" customWidth="1"/>
    <col min="5644" max="5646" width="0" style="137" hidden="1" customWidth="1"/>
    <col min="5647" max="5647" width="16.42578125" style="137" customWidth="1"/>
    <col min="5648" max="5648" width="17" style="137" customWidth="1"/>
    <col min="5649" max="5651" width="0" style="137" hidden="1" customWidth="1"/>
    <col min="5652" max="5652" width="16.42578125" style="137" customWidth="1"/>
    <col min="5653" max="5653" width="16.140625" style="137" customWidth="1"/>
    <col min="5654" max="5654" width="16" style="137" customWidth="1"/>
    <col min="5655" max="5655" width="16.28515625" style="137" customWidth="1"/>
    <col min="5656" max="5656" width="14.5703125" style="137" customWidth="1"/>
    <col min="5657" max="5657" width="15.85546875" style="137" customWidth="1"/>
    <col min="5658" max="5658" width="15.140625" style="137" customWidth="1"/>
    <col min="5659" max="5659" width="16" style="137" customWidth="1"/>
    <col min="5660" max="5660" width="16.5703125" style="137" customWidth="1"/>
    <col min="5661" max="5884" width="9.140625" style="137"/>
    <col min="5885" max="5885" width="8.28515625" style="137" customWidth="1"/>
    <col min="5886" max="5886" width="26.140625" style="137" customWidth="1"/>
    <col min="5887" max="5889" width="11.28515625" style="137" customWidth="1"/>
    <col min="5890" max="5890" width="10.28515625" style="137" customWidth="1"/>
    <col min="5891" max="5891" width="15.5703125" style="137" customWidth="1"/>
    <col min="5892" max="5892" width="16" style="137" customWidth="1"/>
    <col min="5893" max="5895" width="0" style="137" hidden="1" customWidth="1"/>
    <col min="5896" max="5896" width="17.140625" style="137" customWidth="1"/>
    <col min="5897" max="5897" width="16.85546875" style="137" customWidth="1"/>
    <col min="5898" max="5898" width="16.5703125" style="137" customWidth="1"/>
    <col min="5899" max="5899" width="16.28515625" style="137" customWidth="1"/>
    <col min="5900" max="5902" width="0" style="137" hidden="1" customWidth="1"/>
    <col min="5903" max="5903" width="16.42578125" style="137" customWidth="1"/>
    <col min="5904" max="5904" width="17" style="137" customWidth="1"/>
    <col min="5905" max="5907" width="0" style="137" hidden="1" customWidth="1"/>
    <col min="5908" max="5908" width="16.42578125" style="137" customWidth="1"/>
    <col min="5909" max="5909" width="16.140625" style="137" customWidth="1"/>
    <col min="5910" max="5910" width="16" style="137" customWidth="1"/>
    <col min="5911" max="5911" width="16.28515625" style="137" customWidth="1"/>
    <col min="5912" max="5912" width="14.5703125" style="137" customWidth="1"/>
    <col min="5913" max="5913" width="15.85546875" style="137" customWidth="1"/>
    <col min="5914" max="5914" width="15.140625" style="137" customWidth="1"/>
    <col min="5915" max="5915" width="16" style="137" customWidth="1"/>
    <col min="5916" max="5916" width="16.5703125" style="137" customWidth="1"/>
    <col min="5917" max="6140" width="9.140625" style="137"/>
    <col min="6141" max="6141" width="8.28515625" style="137" customWidth="1"/>
    <col min="6142" max="6142" width="26.140625" style="137" customWidth="1"/>
    <col min="6143" max="6145" width="11.28515625" style="137" customWidth="1"/>
    <col min="6146" max="6146" width="10.28515625" style="137" customWidth="1"/>
    <col min="6147" max="6147" width="15.5703125" style="137" customWidth="1"/>
    <col min="6148" max="6148" width="16" style="137" customWidth="1"/>
    <col min="6149" max="6151" width="0" style="137" hidden="1" customWidth="1"/>
    <col min="6152" max="6152" width="17.140625" style="137" customWidth="1"/>
    <col min="6153" max="6153" width="16.85546875" style="137" customWidth="1"/>
    <col min="6154" max="6154" width="16.5703125" style="137" customWidth="1"/>
    <col min="6155" max="6155" width="16.28515625" style="137" customWidth="1"/>
    <col min="6156" max="6158" width="0" style="137" hidden="1" customWidth="1"/>
    <col min="6159" max="6159" width="16.42578125" style="137" customWidth="1"/>
    <col min="6160" max="6160" width="17" style="137" customWidth="1"/>
    <col min="6161" max="6163" width="0" style="137" hidden="1" customWidth="1"/>
    <col min="6164" max="6164" width="16.42578125" style="137" customWidth="1"/>
    <col min="6165" max="6165" width="16.140625" style="137" customWidth="1"/>
    <col min="6166" max="6166" width="16" style="137" customWidth="1"/>
    <col min="6167" max="6167" width="16.28515625" style="137" customWidth="1"/>
    <col min="6168" max="6168" width="14.5703125" style="137" customWidth="1"/>
    <col min="6169" max="6169" width="15.85546875" style="137" customWidth="1"/>
    <col min="6170" max="6170" width="15.140625" style="137" customWidth="1"/>
    <col min="6171" max="6171" width="16" style="137" customWidth="1"/>
    <col min="6172" max="6172" width="16.5703125" style="137" customWidth="1"/>
    <col min="6173" max="6396" width="9.140625" style="137"/>
    <col min="6397" max="6397" width="8.28515625" style="137" customWidth="1"/>
    <col min="6398" max="6398" width="26.140625" style="137" customWidth="1"/>
    <col min="6399" max="6401" width="11.28515625" style="137" customWidth="1"/>
    <col min="6402" max="6402" width="10.28515625" style="137" customWidth="1"/>
    <col min="6403" max="6403" width="15.5703125" style="137" customWidth="1"/>
    <col min="6404" max="6404" width="16" style="137" customWidth="1"/>
    <col min="6405" max="6407" width="0" style="137" hidden="1" customWidth="1"/>
    <col min="6408" max="6408" width="17.140625" style="137" customWidth="1"/>
    <col min="6409" max="6409" width="16.85546875" style="137" customWidth="1"/>
    <col min="6410" max="6410" width="16.5703125" style="137" customWidth="1"/>
    <col min="6411" max="6411" width="16.28515625" style="137" customWidth="1"/>
    <col min="6412" max="6414" width="0" style="137" hidden="1" customWidth="1"/>
    <col min="6415" max="6415" width="16.42578125" style="137" customWidth="1"/>
    <col min="6416" max="6416" width="17" style="137" customWidth="1"/>
    <col min="6417" max="6419" width="0" style="137" hidden="1" customWidth="1"/>
    <col min="6420" max="6420" width="16.42578125" style="137" customWidth="1"/>
    <col min="6421" max="6421" width="16.140625" style="137" customWidth="1"/>
    <col min="6422" max="6422" width="16" style="137" customWidth="1"/>
    <col min="6423" max="6423" width="16.28515625" style="137" customWidth="1"/>
    <col min="6424" max="6424" width="14.5703125" style="137" customWidth="1"/>
    <col min="6425" max="6425" width="15.85546875" style="137" customWidth="1"/>
    <col min="6426" max="6426" width="15.140625" style="137" customWidth="1"/>
    <col min="6427" max="6427" width="16" style="137" customWidth="1"/>
    <col min="6428" max="6428" width="16.5703125" style="137" customWidth="1"/>
    <col min="6429" max="6652" width="9.140625" style="137"/>
    <col min="6653" max="6653" width="8.28515625" style="137" customWidth="1"/>
    <col min="6654" max="6654" width="26.140625" style="137" customWidth="1"/>
    <col min="6655" max="6657" width="11.28515625" style="137" customWidth="1"/>
    <col min="6658" max="6658" width="10.28515625" style="137" customWidth="1"/>
    <col min="6659" max="6659" width="15.5703125" style="137" customWidth="1"/>
    <col min="6660" max="6660" width="16" style="137" customWidth="1"/>
    <col min="6661" max="6663" width="0" style="137" hidden="1" customWidth="1"/>
    <col min="6664" max="6664" width="17.140625" style="137" customWidth="1"/>
    <col min="6665" max="6665" width="16.85546875" style="137" customWidth="1"/>
    <col min="6666" max="6666" width="16.5703125" style="137" customWidth="1"/>
    <col min="6667" max="6667" width="16.28515625" style="137" customWidth="1"/>
    <col min="6668" max="6670" width="0" style="137" hidden="1" customWidth="1"/>
    <col min="6671" max="6671" width="16.42578125" style="137" customWidth="1"/>
    <col min="6672" max="6672" width="17" style="137" customWidth="1"/>
    <col min="6673" max="6675" width="0" style="137" hidden="1" customWidth="1"/>
    <col min="6676" max="6676" width="16.42578125" style="137" customWidth="1"/>
    <col min="6677" max="6677" width="16.140625" style="137" customWidth="1"/>
    <col min="6678" max="6678" width="16" style="137" customWidth="1"/>
    <col min="6679" max="6679" width="16.28515625" style="137" customWidth="1"/>
    <col min="6680" max="6680" width="14.5703125" style="137" customWidth="1"/>
    <col min="6681" max="6681" width="15.85546875" style="137" customWidth="1"/>
    <col min="6682" max="6682" width="15.140625" style="137" customWidth="1"/>
    <col min="6683" max="6683" width="16" style="137" customWidth="1"/>
    <col min="6684" max="6684" width="16.5703125" style="137" customWidth="1"/>
    <col min="6685" max="6908" width="9.140625" style="137"/>
    <col min="6909" max="6909" width="8.28515625" style="137" customWidth="1"/>
    <col min="6910" max="6910" width="26.140625" style="137" customWidth="1"/>
    <col min="6911" max="6913" width="11.28515625" style="137" customWidth="1"/>
    <col min="6914" max="6914" width="10.28515625" style="137" customWidth="1"/>
    <col min="6915" max="6915" width="15.5703125" style="137" customWidth="1"/>
    <col min="6916" max="6916" width="16" style="137" customWidth="1"/>
    <col min="6917" max="6919" width="0" style="137" hidden="1" customWidth="1"/>
    <col min="6920" max="6920" width="17.140625" style="137" customWidth="1"/>
    <col min="6921" max="6921" width="16.85546875" style="137" customWidth="1"/>
    <col min="6922" max="6922" width="16.5703125" style="137" customWidth="1"/>
    <col min="6923" max="6923" width="16.28515625" style="137" customWidth="1"/>
    <col min="6924" max="6926" width="0" style="137" hidden="1" customWidth="1"/>
    <col min="6927" max="6927" width="16.42578125" style="137" customWidth="1"/>
    <col min="6928" max="6928" width="17" style="137" customWidth="1"/>
    <col min="6929" max="6931" width="0" style="137" hidden="1" customWidth="1"/>
    <col min="6932" max="6932" width="16.42578125" style="137" customWidth="1"/>
    <col min="6933" max="6933" width="16.140625" style="137" customWidth="1"/>
    <col min="6934" max="6934" width="16" style="137" customWidth="1"/>
    <col min="6935" max="6935" width="16.28515625" style="137" customWidth="1"/>
    <col min="6936" max="6936" width="14.5703125" style="137" customWidth="1"/>
    <col min="6937" max="6937" width="15.85546875" style="137" customWidth="1"/>
    <col min="6938" max="6938" width="15.140625" style="137" customWidth="1"/>
    <col min="6939" max="6939" width="16" style="137" customWidth="1"/>
    <col min="6940" max="6940" width="16.5703125" style="137" customWidth="1"/>
    <col min="6941" max="7164" width="9.140625" style="137"/>
    <col min="7165" max="7165" width="8.28515625" style="137" customWidth="1"/>
    <col min="7166" max="7166" width="26.140625" style="137" customWidth="1"/>
    <col min="7167" max="7169" width="11.28515625" style="137" customWidth="1"/>
    <col min="7170" max="7170" width="10.28515625" style="137" customWidth="1"/>
    <col min="7171" max="7171" width="15.5703125" style="137" customWidth="1"/>
    <col min="7172" max="7172" width="16" style="137" customWidth="1"/>
    <col min="7173" max="7175" width="0" style="137" hidden="1" customWidth="1"/>
    <col min="7176" max="7176" width="17.140625" style="137" customWidth="1"/>
    <col min="7177" max="7177" width="16.85546875" style="137" customWidth="1"/>
    <col min="7178" max="7178" width="16.5703125" style="137" customWidth="1"/>
    <col min="7179" max="7179" width="16.28515625" style="137" customWidth="1"/>
    <col min="7180" max="7182" width="0" style="137" hidden="1" customWidth="1"/>
    <col min="7183" max="7183" width="16.42578125" style="137" customWidth="1"/>
    <col min="7184" max="7184" width="17" style="137" customWidth="1"/>
    <col min="7185" max="7187" width="0" style="137" hidden="1" customWidth="1"/>
    <col min="7188" max="7188" width="16.42578125" style="137" customWidth="1"/>
    <col min="7189" max="7189" width="16.140625" style="137" customWidth="1"/>
    <col min="7190" max="7190" width="16" style="137" customWidth="1"/>
    <col min="7191" max="7191" width="16.28515625" style="137" customWidth="1"/>
    <col min="7192" max="7192" width="14.5703125" style="137" customWidth="1"/>
    <col min="7193" max="7193" width="15.85546875" style="137" customWidth="1"/>
    <col min="7194" max="7194" width="15.140625" style="137" customWidth="1"/>
    <col min="7195" max="7195" width="16" style="137" customWidth="1"/>
    <col min="7196" max="7196" width="16.5703125" style="137" customWidth="1"/>
    <col min="7197" max="7420" width="9.140625" style="137"/>
    <col min="7421" max="7421" width="8.28515625" style="137" customWidth="1"/>
    <col min="7422" max="7422" width="26.140625" style="137" customWidth="1"/>
    <col min="7423" max="7425" width="11.28515625" style="137" customWidth="1"/>
    <col min="7426" max="7426" width="10.28515625" style="137" customWidth="1"/>
    <col min="7427" max="7427" width="15.5703125" style="137" customWidth="1"/>
    <col min="7428" max="7428" width="16" style="137" customWidth="1"/>
    <col min="7429" max="7431" width="0" style="137" hidden="1" customWidth="1"/>
    <col min="7432" max="7432" width="17.140625" style="137" customWidth="1"/>
    <col min="7433" max="7433" width="16.85546875" style="137" customWidth="1"/>
    <col min="7434" max="7434" width="16.5703125" style="137" customWidth="1"/>
    <col min="7435" max="7435" width="16.28515625" style="137" customWidth="1"/>
    <col min="7436" max="7438" width="0" style="137" hidden="1" customWidth="1"/>
    <col min="7439" max="7439" width="16.42578125" style="137" customWidth="1"/>
    <col min="7440" max="7440" width="17" style="137" customWidth="1"/>
    <col min="7441" max="7443" width="0" style="137" hidden="1" customWidth="1"/>
    <col min="7444" max="7444" width="16.42578125" style="137" customWidth="1"/>
    <col min="7445" max="7445" width="16.140625" style="137" customWidth="1"/>
    <col min="7446" max="7446" width="16" style="137" customWidth="1"/>
    <col min="7447" max="7447" width="16.28515625" style="137" customWidth="1"/>
    <col min="7448" max="7448" width="14.5703125" style="137" customWidth="1"/>
    <col min="7449" max="7449" width="15.85546875" style="137" customWidth="1"/>
    <col min="7450" max="7450" width="15.140625" style="137" customWidth="1"/>
    <col min="7451" max="7451" width="16" style="137" customWidth="1"/>
    <col min="7452" max="7452" width="16.5703125" style="137" customWidth="1"/>
    <col min="7453" max="7676" width="9.140625" style="137"/>
    <col min="7677" max="7677" width="8.28515625" style="137" customWidth="1"/>
    <col min="7678" max="7678" width="26.140625" style="137" customWidth="1"/>
    <col min="7679" max="7681" width="11.28515625" style="137" customWidth="1"/>
    <col min="7682" max="7682" width="10.28515625" style="137" customWidth="1"/>
    <col min="7683" max="7683" width="15.5703125" style="137" customWidth="1"/>
    <col min="7684" max="7684" width="16" style="137" customWidth="1"/>
    <col min="7685" max="7687" width="0" style="137" hidden="1" customWidth="1"/>
    <col min="7688" max="7688" width="17.140625" style="137" customWidth="1"/>
    <col min="7689" max="7689" width="16.85546875" style="137" customWidth="1"/>
    <col min="7690" max="7690" width="16.5703125" style="137" customWidth="1"/>
    <col min="7691" max="7691" width="16.28515625" style="137" customWidth="1"/>
    <col min="7692" max="7694" width="0" style="137" hidden="1" customWidth="1"/>
    <col min="7695" max="7695" width="16.42578125" style="137" customWidth="1"/>
    <col min="7696" max="7696" width="17" style="137" customWidth="1"/>
    <col min="7697" max="7699" width="0" style="137" hidden="1" customWidth="1"/>
    <col min="7700" max="7700" width="16.42578125" style="137" customWidth="1"/>
    <col min="7701" max="7701" width="16.140625" style="137" customWidth="1"/>
    <col min="7702" max="7702" width="16" style="137" customWidth="1"/>
    <col min="7703" max="7703" width="16.28515625" style="137" customWidth="1"/>
    <col min="7704" max="7704" width="14.5703125" style="137" customWidth="1"/>
    <col min="7705" max="7705" width="15.85546875" style="137" customWidth="1"/>
    <col min="7706" max="7706" width="15.140625" style="137" customWidth="1"/>
    <col min="7707" max="7707" width="16" style="137" customWidth="1"/>
    <col min="7708" max="7708" width="16.5703125" style="137" customWidth="1"/>
    <col min="7709" max="7932" width="9.140625" style="137"/>
    <col min="7933" max="7933" width="8.28515625" style="137" customWidth="1"/>
    <col min="7934" max="7934" width="26.140625" style="137" customWidth="1"/>
    <col min="7935" max="7937" width="11.28515625" style="137" customWidth="1"/>
    <col min="7938" max="7938" width="10.28515625" style="137" customWidth="1"/>
    <col min="7939" max="7939" width="15.5703125" style="137" customWidth="1"/>
    <col min="7940" max="7940" width="16" style="137" customWidth="1"/>
    <col min="7941" max="7943" width="0" style="137" hidden="1" customWidth="1"/>
    <col min="7944" max="7944" width="17.140625" style="137" customWidth="1"/>
    <col min="7945" max="7945" width="16.85546875" style="137" customWidth="1"/>
    <col min="7946" max="7946" width="16.5703125" style="137" customWidth="1"/>
    <col min="7947" max="7947" width="16.28515625" style="137" customWidth="1"/>
    <col min="7948" max="7950" width="0" style="137" hidden="1" customWidth="1"/>
    <col min="7951" max="7951" width="16.42578125" style="137" customWidth="1"/>
    <col min="7952" max="7952" width="17" style="137" customWidth="1"/>
    <col min="7953" max="7955" width="0" style="137" hidden="1" customWidth="1"/>
    <col min="7956" max="7956" width="16.42578125" style="137" customWidth="1"/>
    <col min="7957" max="7957" width="16.140625" style="137" customWidth="1"/>
    <col min="7958" max="7958" width="16" style="137" customWidth="1"/>
    <col min="7959" max="7959" width="16.28515625" style="137" customWidth="1"/>
    <col min="7960" max="7960" width="14.5703125" style="137" customWidth="1"/>
    <col min="7961" max="7961" width="15.85546875" style="137" customWidth="1"/>
    <col min="7962" max="7962" width="15.140625" style="137" customWidth="1"/>
    <col min="7963" max="7963" width="16" style="137" customWidth="1"/>
    <col min="7964" max="7964" width="16.5703125" style="137" customWidth="1"/>
    <col min="7965" max="8188" width="9.140625" style="137"/>
    <col min="8189" max="8189" width="8.28515625" style="137" customWidth="1"/>
    <col min="8190" max="8190" width="26.140625" style="137" customWidth="1"/>
    <col min="8191" max="8193" width="11.28515625" style="137" customWidth="1"/>
    <col min="8194" max="8194" width="10.28515625" style="137" customWidth="1"/>
    <col min="8195" max="8195" width="15.5703125" style="137" customWidth="1"/>
    <col min="8196" max="8196" width="16" style="137" customWidth="1"/>
    <col min="8197" max="8199" width="0" style="137" hidden="1" customWidth="1"/>
    <col min="8200" max="8200" width="17.140625" style="137" customWidth="1"/>
    <col min="8201" max="8201" width="16.85546875" style="137" customWidth="1"/>
    <col min="8202" max="8202" width="16.5703125" style="137" customWidth="1"/>
    <col min="8203" max="8203" width="16.28515625" style="137" customWidth="1"/>
    <col min="8204" max="8206" width="0" style="137" hidden="1" customWidth="1"/>
    <col min="8207" max="8207" width="16.42578125" style="137" customWidth="1"/>
    <col min="8208" max="8208" width="17" style="137" customWidth="1"/>
    <col min="8209" max="8211" width="0" style="137" hidden="1" customWidth="1"/>
    <col min="8212" max="8212" width="16.42578125" style="137" customWidth="1"/>
    <col min="8213" max="8213" width="16.140625" style="137" customWidth="1"/>
    <col min="8214" max="8214" width="16" style="137" customWidth="1"/>
    <col min="8215" max="8215" width="16.28515625" style="137" customWidth="1"/>
    <col min="8216" max="8216" width="14.5703125" style="137" customWidth="1"/>
    <col min="8217" max="8217" width="15.85546875" style="137" customWidth="1"/>
    <col min="8218" max="8218" width="15.140625" style="137" customWidth="1"/>
    <col min="8219" max="8219" width="16" style="137" customWidth="1"/>
    <col min="8220" max="8220" width="16.5703125" style="137" customWidth="1"/>
    <col min="8221" max="8444" width="9.140625" style="137"/>
    <col min="8445" max="8445" width="8.28515625" style="137" customWidth="1"/>
    <col min="8446" max="8446" width="26.140625" style="137" customWidth="1"/>
    <col min="8447" max="8449" width="11.28515625" style="137" customWidth="1"/>
    <col min="8450" max="8450" width="10.28515625" style="137" customWidth="1"/>
    <col min="8451" max="8451" width="15.5703125" style="137" customWidth="1"/>
    <col min="8452" max="8452" width="16" style="137" customWidth="1"/>
    <col min="8453" max="8455" width="0" style="137" hidden="1" customWidth="1"/>
    <col min="8456" max="8456" width="17.140625" style="137" customWidth="1"/>
    <col min="8457" max="8457" width="16.85546875" style="137" customWidth="1"/>
    <col min="8458" max="8458" width="16.5703125" style="137" customWidth="1"/>
    <col min="8459" max="8459" width="16.28515625" style="137" customWidth="1"/>
    <col min="8460" max="8462" width="0" style="137" hidden="1" customWidth="1"/>
    <col min="8463" max="8463" width="16.42578125" style="137" customWidth="1"/>
    <col min="8464" max="8464" width="17" style="137" customWidth="1"/>
    <col min="8465" max="8467" width="0" style="137" hidden="1" customWidth="1"/>
    <col min="8468" max="8468" width="16.42578125" style="137" customWidth="1"/>
    <col min="8469" max="8469" width="16.140625" style="137" customWidth="1"/>
    <col min="8470" max="8470" width="16" style="137" customWidth="1"/>
    <col min="8471" max="8471" width="16.28515625" style="137" customWidth="1"/>
    <col min="8472" max="8472" width="14.5703125" style="137" customWidth="1"/>
    <col min="8473" max="8473" width="15.85546875" style="137" customWidth="1"/>
    <col min="8474" max="8474" width="15.140625" style="137" customWidth="1"/>
    <col min="8475" max="8475" width="16" style="137" customWidth="1"/>
    <col min="8476" max="8476" width="16.5703125" style="137" customWidth="1"/>
    <col min="8477" max="8700" width="9.140625" style="137"/>
    <col min="8701" max="8701" width="8.28515625" style="137" customWidth="1"/>
    <col min="8702" max="8702" width="26.140625" style="137" customWidth="1"/>
    <col min="8703" max="8705" width="11.28515625" style="137" customWidth="1"/>
    <col min="8706" max="8706" width="10.28515625" style="137" customWidth="1"/>
    <col min="8707" max="8707" width="15.5703125" style="137" customWidth="1"/>
    <col min="8708" max="8708" width="16" style="137" customWidth="1"/>
    <col min="8709" max="8711" width="0" style="137" hidden="1" customWidth="1"/>
    <col min="8712" max="8712" width="17.140625" style="137" customWidth="1"/>
    <col min="8713" max="8713" width="16.85546875" style="137" customWidth="1"/>
    <col min="8714" max="8714" width="16.5703125" style="137" customWidth="1"/>
    <col min="8715" max="8715" width="16.28515625" style="137" customWidth="1"/>
    <col min="8716" max="8718" width="0" style="137" hidden="1" customWidth="1"/>
    <col min="8719" max="8719" width="16.42578125" style="137" customWidth="1"/>
    <col min="8720" max="8720" width="17" style="137" customWidth="1"/>
    <col min="8721" max="8723" width="0" style="137" hidden="1" customWidth="1"/>
    <col min="8724" max="8724" width="16.42578125" style="137" customWidth="1"/>
    <col min="8725" max="8725" width="16.140625" style="137" customWidth="1"/>
    <col min="8726" max="8726" width="16" style="137" customWidth="1"/>
    <col min="8727" max="8727" width="16.28515625" style="137" customWidth="1"/>
    <col min="8728" max="8728" width="14.5703125" style="137" customWidth="1"/>
    <col min="8729" max="8729" width="15.85546875" style="137" customWidth="1"/>
    <col min="8730" max="8730" width="15.140625" style="137" customWidth="1"/>
    <col min="8731" max="8731" width="16" style="137" customWidth="1"/>
    <col min="8732" max="8732" width="16.5703125" style="137" customWidth="1"/>
    <col min="8733" max="8956" width="9.140625" style="137"/>
    <col min="8957" max="8957" width="8.28515625" style="137" customWidth="1"/>
    <col min="8958" max="8958" width="26.140625" style="137" customWidth="1"/>
    <col min="8959" max="8961" width="11.28515625" style="137" customWidth="1"/>
    <col min="8962" max="8962" width="10.28515625" style="137" customWidth="1"/>
    <col min="8963" max="8963" width="15.5703125" style="137" customWidth="1"/>
    <col min="8964" max="8964" width="16" style="137" customWidth="1"/>
    <col min="8965" max="8967" width="0" style="137" hidden="1" customWidth="1"/>
    <col min="8968" max="8968" width="17.140625" style="137" customWidth="1"/>
    <col min="8969" max="8969" width="16.85546875" style="137" customWidth="1"/>
    <col min="8970" max="8970" width="16.5703125" style="137" customWidth="1"/>
    <col min="8971" max="8971" width="16.28515625" style="137" customWidth="1"/>
    <col min="8972" max="8974" width="0" style="137" hidden="1" customWidth="1"/>
    <col min="8975" max="8975" width="16.42578125" style="137" customWidth="1"/>
    <col min="8976" max="8976" width="17" style="137" customWidth="1"/>
    <col min="8977" max="8979" width="0" style="137" hidden="1" customWidth="1"/>
    <col min="8980" max="8980" width="16.42578125" style="137" customWidth="1"/>
    <col min="8981" max="8981" width="16.140625" style="137" customWidth="1"/>
    <col min="8982" max="8982" width="16" style="137" customWidth="1"/>
    <col min="8983" max="8983" width="16.28515625" style="137" customWidth="1"/>
    <col min="8984" max="8984" width="14.5703125" style="137" customWidth="1"/>
    <col min="8985" max="8985" width="15.85546875" style="137" customWidth="1"/>
    <col min="8986" max="8986" width="15.140625" style="137" customWidth="1"/>
    <col min="8987" max="8987" width="16" style="137" customWidth="1"/>
    <col min="8988" max="8988" width="16.5703125" style="137" customWidth="1"/>
    <col min="8989" max="9212" width="9.140625" style="137"/>
    <col min="9213" max="9213" width="8.28515625" style="137" customWidth="1"/>
    <col min="9214" max="9214" width="26.140625" style="137" customWidth="1"/>
    <col min="9215" max="9217" width="11.28515625" style="137" customWidth="1"/>
    <col min="9218" max="9218" width="10.28515625" style="137" customWidth="1"/>
    <col min="9219" max="9219" width="15.5703125" style="137" customWidth="1"/>
    <col min="9220" max="9220" width="16" style="137" customWidth="1"/>
    <col min="9221" max="9223" width="0" style="137" hidden="1" customWidth="1"/>
    <col min="9224" max="9224" width="17.140625" style="137" customWidth="1"/>
    <col min="9225" max="9225" width="16.85546875" style="137" customWidth="1"/>
    <col min="9226" max="9226" width="16.5703125" style="137" customWidth="1"/>
    <col min="9227" max="9227" width="16.28515625" style="137" customWidth="1"/>
    <col min="9228" max="9230" width="0" style="137" hidden="1" customWidth="1"/>
    <col min="9231" max="9231" width="16.42578125" style="137" customWidth="1"/>
    <col min="9232" max="9232" width="17" style="137" customWidth="1"/>
    <col min="9233" max="9235" width="0" style="137" hidden="1" customWidth="1"/>
    <col min="9236" max="9236" width="16.42578125" style="137" customWidth="1"/>
    <col min="9237" max="9237" width="16.140625" style="137" customWidth="1"/>
    <col min="9238" max="9238" width="16" style="137" customWidth="1"/>
    <col min="9239" max="9239" width="16.28515625" style="137" customWidth="1"/>
    <col min="9240" max="9240" width="14.5703125" style="137" customWidth="1"/>
    <col min="9241" max="9241" width="15.85546875" style="137" customWidth="1"/>
    <col min="9242" max="9242" width="15.140625" style="137" customWidth="1"/>
    <col min="9243" max="9243" width="16" style="137" customWidth="1"/>
    <col min="9244" max="9244" width="16.5703125" style="137" customWidth="1"/>
    <col min="9245" max="9468" width="9.140625" style="137"/>
    <col min="9469" max="9469" width="8.28515625" style="137" customWidth="1"/>
    <col min="9470" max="9470" width="26.140625" style="137" customWidth="1"/>
    <col min="9471" max="9473" width="11.28515625" style="137" customWidth="1"/>
    <col min="9474" max="9474" width="10.28515625" style="137" customWidth="1"/>
    <col min="9475" max="9475" width="15.5703125" style="137" customWidth="1"/>
    <col min="9476" max="9476" width="16" style="137" customWidth="1"/>
    <col min="9477" max="9479" width="0" style="137" hidden="1" customWidth="1"/>
    <col min="9480" max="9480" width="17.140625" style="137" customWidth="1"/>
    <col min="9481" max="9481" width="16.85546875" style="137" customWidth="1"/>
    <col min="9482" max="9482" width="16.5703125" style="137" customWidth="1"/>
    <col min="9483" max="9483" width="16.28515625" style="137" customWidth="1"/>
    <col min="9484" max="9486" width="0" style="137" hidden="1" customWidth="1"/>
    <col min="9487" max="9487" width="16.42578125" style="137" customWidth="1"/>
    <col min="9488" max="9488" width="17" style="137" customWidth="1"/>
    <col min="9489" max="9491" width="0" style="137" hidden="1" customWidth="1"/>
    <col min="9492" max="9492" width="16.42578125" style="137" customWidth="1"/>
    <col min="9493" max="9493" width="16.140625" style="137" customWidth="1"/>
    <col min="9494" max="9494" width="16" style="137" customWidth="1"/>
    <col min="9495" max="9495" width="16.28515625" style="137" customWidth="1"/>
    <col min="9496" max="9496" width="14.5703125" style="137" customWidth="1"/>
    <col min="9497" max="9497" width="15.85546875" style="137" customWidth="1"/>
    <col min="9498" max="9498" width="15.140625" style="137" customWidth="1"/>
    <col min="9499" max="9499" width="16" style="137" customWidth="1"/>
    <col min="9500" max="9500" width="16.5703125" style="137" customWidth="1"/>
    <col min="9501" max="9724" width="9.140625" style="137"/>
    <col min="9725" max="9725" width="8.28515625" style="137" customWidth="1"/>
    <col min="9726" max="9726" width="26.140625" style="137" customWidth="1"/>
    <col min="9727" max="9729" width="11.28515625" style="137" customWidth="1"/>
    <col min="9730" max="9730" width="10.28515625" style="137" customWidth="1"/>
    <col min="9731" max="9731" width="15.5703125" style="137" customWidth="1"/>
    <col min="9732" max="9732" width="16" style="137" customWidth="1"/>
    <col min="9733" max="9735" width="0" style="137" hidden="1" customWidth="1"/>
    <col min="9736" max="9736" width="17.140625" style="137" customWidth="1"/>
    <col min="9737" max="9737" width="16.85546875" style="137" customWidth="1"/>
    <col min="9738" max="9738" width="16.5703125" style="137" customWidth="1"/>
    <col min="9739" max="9739" width="16.28515625" style="137" customWidth="1"/>
    <col min="9740" max="9742" width="0" style="137" hidden="1" customWidth="1"/>
    <col min="9743" max="9743" width="16.42578125" style="137" customWidth="1"/>
    <col min="9744" max="9744" width="17" style="137" customWidth="1"/>
    <col min="9745" max="9747" width="0" style="137" hidden="1" customWidth="1"/>
    <col min="9748" max="9748" width="16.42578125" style="137" customWidth="1"/>
    <col min="9749" max="9749" width="16.140625" style="137" customWidth="1"/>
    <col min="9750" max="9750" width="16" style="137" customWidth="1"/>
    <col min="9751" max="9751" width="16.28515625" style="137" customWidth="1"/>
    <col min="9752" max="9752" width="14.5703125" style="137" customWidth="1"/>
    <col min="9753" max="9753" width="15.85546875" style="137" customWidth="1"/>
    <col min="9754" max="9754" width="15.140625" style="137" customWidth="1"/>
    <col min="9755" max="9755" width="16" style="137" customWidth="1"/>
    <col min="9756" max="9756" width="16.5703125" style="137" customWidth="1"/>
    <col min="9757" max="9980" width="9.140625" style="137"/>
    <col min="9981" max="9981" width="8.28515625" style="137" customWidth="1"/>
    <col min="9982" max="9982" width="26.140625" style="137" customWidth="1"/>
    <col min="9983" max="9985" width="11.28515625" style="137" customWidth="1"/>
    <col min="9986" max="9986" width="10.28515625" style="137" customWidth="1"/>
    <col min="9987" max="9987" width="15.5703125" style="137" customWidth="1"/>
    <col min="9988" max="9988" width="16" style="137" customWidth="1"/>
    <col min="9989" max="9991" width="0" style="137" hidden="1" customWidth="1"/>
    <col min="9992" max="9992" width="17.140625" style="137" customWidth="1"/>
    <col min="9993" max="9993" width="16.85546875" style="137" customWidth="1"/>
    <col min="9994" max="9994" width="16.5703125" style="137" customWidth="1"/>
    <col min="9995" max="9995" width="16.28515625" style="137" customWidth="1"/>
    <col min="9996" max="9998" width="0" style="137" hidden="1" customWidth="1"/>
    <col min="9999" max="9999" width="16.42578125" style="137" customWidth="1"/>
    <col min="10000" max="10000" width="17" style="137" customWidth="1"/>
    <col min="10001" max="10003" width="0" style="137" hidden="1" customWidth="1"/>
    <col min="10004" max="10004" width="16.42578125" style="137" customWidth="1"/>
    <col min="10005" max="10005" width="16.140625" style="137" customWidth="1"/>
    <col min="10006" max="10006" width="16" style="137" customWidth="1"/>
    <col min="10007" max="10007" width="16.28515625" style="137" customWidth="1"/>
    <col min="10008" max="10008" width="14.5703125" style="137" customWidth="1"/>
    <col min="10009" max="10009" width="15.85546875" style="137" customWidth="1"/>
    <col min="10010" max="10010" width="15.140625" style="137" customWidth="1"/>
    <col min="10011" max="10011" width="16" style="137" customWidth="1"/>
    <col min="10012" max="10012" width="16.5703125" style="137" customWidth="1"/>
    <col min="10013" max="10236" width="9.140625" style="137"/>
    <col min="10237" max="10237" width="8.28515625" style="137" customWidth="1"/>
    <col min="10238" max="10238" width="26.140625" style="137" customWidth="1"/>
    <col min="10239" max="10241" width="11.28515625" style="137" customWidth="1"/>
    <col min="10242" max="10242" width="10.28515625" style="137" customWidth="1"/>
    <col min="10243" max="10243" width="15.5703125" style="137" customWidth="1"/>
    <col min="10244" max="10244" width="16" style="137" customWidth="1"/>
    <col min="10245" max="10247" width="0" style="137" hidden="1" customWidth="1"/>
    <col min="10248" max="10248" width="17.140625" style="137" customWidth="1"/>
    <col min="10249" max="10249" width="16.85546875" style="137" customWidth="1"/>
    <col min="10250" max="10250" width="16.5703125" style="137" customWidth="1"/>
    <col min="10251" max="10251" width="16.28515625" style="137" customWidth="1"/>
    <col min="10252" max="10254" width="0" style="137" hidden="1" customWidth="1"/>
    <col min="10255" max="10255" width="16.42578125" style="137" customWidth="1"/>
    <col min="10256" max="10256" width="17" style="137" customWidth="1"/>
    <col min="10257" max="10259" width="0" style="137" hidden="1" customWidth="1"/>
    <col min="10260" max="10260" width="16.42578125" style="137" customWidth="1"/>
    <col min="10261" max="10261" width="16.140625" style="137" customWidth="1"/>
    <col min="10262" max="10262" width="16" style="137" customWidth="1"/>
    <col min="10263" max="10263" width="16.28515625" style="137" customWidth="1"/>
    <col min="10264" max="10264" width="14.5703125" style="137" customWidth="1"/>
    <col min="10265" max="10265" width="15.85546875" style="137" customWidth="1"/>
    <col min="10266" max="10266" width="15.140625" style="137" customWidth="1"/>
    <col min="10267" max="10267" width="16" style="137" customWidth="1"/>
    <col min="10268" max="10268" width="16.5703125" style="137" customWidth="1"/>
    <col min="10269" max="10492" width="9.140625" style="137"/>
    <col min="10493" max="10493" width="8.28515625" style="137" customWidth="1"/>
    <col min="10494" max="10494" width="26.140625" style="137" customWidth="1"/>
    <col min="10495" max="10497" width="11.28515625" style="137" customWidth="1"/>
    <col min="10498" max="10498" width="10.28515625" style="137" customWidth="1"/>
    <col min="10499" max="10499" width="15.5703125" style="137" customWidth="1"/>
    <col min="10500" max="10500" width="16" style="137" customWidth="1"/>
    <col min="10501" max="10503" width="0" style="137" hidden="1" customWidth="1"/>
    <col min="10504" max="10504" width="17.140625" style="137" customWidth="1"/>
    <col min="10505" max="10505" width="16.85546875" style="137" customWidth="1"/>
    <col min="10506" max="10506" width="16.5703125" style="137" customWidth="1"/>
    <col min="10507" max="10507" width="16.28515625" style="137" customWidth="1"/>
    <col min="10508" max="10510" width="0" style="137" hidden="1" customWidth="1"/>
    <col min="10511" max="10511" width="16.42578125" style="137" customWidth="1"/>
    <col min="10512" max="10512" width="17" style="137" customWidth="1"/>
    <col min="10513" max="10515" width="0" style="137" hidden="1" customWidth="1"/>
    <col min="10516" max="10516" width="16.42578125" style="137" customWidth="1"/>
    <col min="10517" max="10517" width="16.140625" style="137" customWidth="1"/>
    <col min="10518" max="10518" width="16" style="137" customWidth="1"/>
    <col min="10519" max="10519" width="16.28515625" style="137" customWidth="1"/>
    <col min="10520" max="10520" width="14.5703125" style="137" customWidth="1"/>
    <col min="10521" max="10521" width="15.85546875" style="137" customWidth="1"/>
    <col min="10522" max="10522" width="15.140625" style="137" customWidth="1"/>
    <col min="10523" max="10523" width="16" style="137" customWidth="1"/>
    <col min="10524" max="10524" width="16.5703125" style="137" customWidth="1"/>
    <col min="10525" max="10748" width="9.140625" style="137"/>
    <col min="10749" max="10749" width="8.28515625" style="137" customWidth="1"/>
    <col min="10750" max="10750" width="26.140625" style="137" customWidth="1"/>
    <col min="10751" max="10753" width="11.28515625" style="137" customWidth="1"/>
    <col min="10754" max="10754" width="10.28515625" style="137" customWidth="1"/>
    <col min="10755" max="10755" width="15.5703125" style="137" customWidth="1"/>
    <col min="10756" max="10756" width="16" style="137" customWidth="1"/>
    <col min="10757" max="10759" width="0" style="137" hidden="1" customWidth="1"/>
    <col min="10760" max="10760" width="17.140625" style="137" customWidth="1"/>
    <col min="10761" max="10761" width="16.85546875" style="137" customWidth="1"/>
    <col min="10762" max="10762" width="16.5703125" style="137" customWidth="1"/>
    <col min="10763" max="10763" width="16.28515625" style="137" customWidth="1"/>
    <col min="10764" max="10766" width="0" style="137" hidden="1" customWidth="1"/>
    <col min="10767" max="10767" width="16.42578125" style="137" customWidth="1"/>
    <col min="10768" max="10768" width="17" style="137" customWidth="1"/>
    <col min="10769" max="10771" width="0" style="137" hidden="1" customWidth="1"/>
    <col min="10772" max="10772" width="16.42578125" style="137" customWidth="1"/>
    <col min="10773" max="10773" width="16.140625" style="137" customWidth="1"/>
    <col min="10774" max="10774" width="16" style="137" customWidth="1"/>
    <col min="10775" max="10775" width="16.28515625" style="137" customWidth="1"/>
    <col min="10776" max="10776" width="14.5703125" style="137" customWidth="1"/>
    <col min="10777" max="10777" width="15.85546875" style="137" customWidth="1"/>
    <col min="10778" max="10778" width="15.140625" style="137" customWidth="1"/>
    <col min="10779" max="10779" width="16" style="137" customWidth="1"/>
    <col min="10780" max="10780" width="16.5703125" style="137" customWidth="1"/>
    <col min="10781" max="11004" width="9.140625" style="137"/>
    <col min="11005" max="11005" width="8.28515625" style="137" customWidth="1"/>
    <col min="11006" max="11006" width="26.140625" style="137" customWidth="1"/>
    <col min="11007" max="11009" width="11.28515625" style="137" customWidth="1"/>
    <col min="11010" max="11010" width="10.28515625" style="137" customWidth="1"/>
    <col min="11011" max="11011" width="15.5703125" style="137" customWidth="1"/>
    <col min="11012" max="11012" width="16" style="137" customWidth="1"/>
    <col min="11013" max="11015" width="0" style="137" hidden="1" customWidth="1"/>
    <col min="11016" max="11016" width="17.140625" style="137" customWidth="1"/>
    <col min="11017" max="11017" width="16.85546875" style="137" customWidth="1"/>
    <col min="11018" max="11018" width="16.5703125" style="137" customWidth="1"/>
    <col min="11019" max="11019" width="16.28515625" style="137" customWidth="1"/>
    <col min="11020" max="11022" width="0" style="137" hidden="1" customWidth="1"/>
    <col min="11023" max="11023" width="16.42578125" style="137" customWidth="1"/>
    <col min="11024" max="11024" width="17" style="137" customWidth="1"/>
    <col min="11025" max="11027" width="0" style="137" hidden="1" customWidth="1"/>
    <col min="11028" max="11028" width="16.42578125" style="137" customWidth="1"/>
    <col min="11029" max="11029" width="16.140625" style="137" customWidth="1"/>
    <col min="11030" max="11030" width="16" style="137" customWidth="1"/>
    <col min="11031" max="11031" width="16.28515625" style="137" customWidth="1"/>
    <col min="11032" max="11032" width="14.5703125" style="137" customWidth="1"/>
    <col min="11033" max="11033" width="15.85546875" style="137" customWidth="1"/>
    <col min="11034" max="11034" width="15.140625" style="137" customWidth="1"/>
    <col min="11035" max="11035" width="16" style="137" customWidth="1"/>
    <col min="11036" max="11036" width="16.5703125" style="137" customWidth="1"/>
    <col min="11037" max="11260" width="9.140625" style="137"/>
    <col min="11261" max="11261" width="8.28515625" style="137" customWidth="1"/>
    <col min="11262" max="11262" width="26.140625" style="137" customWidth="1"/>
    <col min="11263" max="11265" width="11.28515625" style="137" customWidth="1"/>
    <col min="11266" max="11266" width="10.28515625" style="137" customWidth="1"/>
    <col min="11267" max="11267" width="15.5703125" style="137" customWidth="1"/>
    <col min="11268" max="11268" width="16" style="137" customWidth="1"/>
    <col min="11269" max="11271" width="0" style="137" hidden="1" customWidth="1"/>
    <col min="11272" max="11272" width="17.140625" style="137" customWidth="1"/>
    <col min="11273" max="11273" width="16.85546875" style="137" customWidth="1"/>
    <col min="11274" max="11274" width="16.5703125" style="137" customWidth="1"/>
    <col min="11275" max="11275" width="16.28515625" style="137" customWidth="1"/>
    <col min="11276" max="11278" width="0" style="137" hidden="1" customWidth="1"/>
    <col min="11279" max="11279" width="16.42578125" style="137" customWidth="1"/>
    <col min="11280" max="11280" width="17" style="137" customWidth="1"/>
    <col min="11281" max="11283" width="0" style="137" hidden="1" customWidth="1"/>
    <col min="11284" max="11284" width="16.42578125" style="137" customWidth="1"/>
    <col min="11285" max="11285" width="16.140625" style="137" customWidth="1"/>
    <col min="11286" max="11286" width="16" style="137" customWidth="1"/>
    <col min="11287" max="11287" width="16.28515625" style="137" customWidth="1"/>
    <col min="11288" max="11288" width="14.5703125" style="137" customWidth="1"/>
    <col min="11289" max="11289" width="15.85546875" style="137" customWidth="1"/>
    <col min="11290" max="11290" width="15.140625" style="137" customWidth="1"/>
    <col min="11291" max="11291" width="16" style="137" customWidth="1"/>
    <col min="11292" max="11292" width="16.5703125" style="137" customWidth="1"/>
    <col min="11293" max="11516" width="9.140625" style="137"/>
    <col min="11517" max="11517" width="8.28515625" style="137" customWidth="1"/>
    <col min="11518" max="11518" width="26.140625" style="137" customWidth="1"/>
    <col min="11519" max="11521" width="11.28515625" style="137" customWidth="1"/>
    <col min="11522" max="11522" width="10.28515625" style="137" customWidth="1"/>
    <col min="11523" max="11523" width="15.5703125" style="137" customWidth="1"/>
    <col min="11524" max="11524" width="16" style="137" customWidth="1"/>
    <col min="11525" max="11527" width="0" style="137" hidden="1" customWidth="1"/>
    <col min="11528" max="11528" width="17.140625" style="137" customWidth="1"/>
    <col min="11529" max="11529" width="16.85546875" style="137" customWidth="1"/>
    <col min="11530" max="11530" width="16.5703125" style="137" customWidth="1"/>
    <col min="11531" max="11531" width="16.28515625" style="137" customWidth="1"/>
    <col min="11532" max="11534" width="0" style="137" hidden="1" customWidth="1"/>
    <col min="11535" max="11535" width="16.42578125" style="137" customWidth="1"/>
    <col min="11536" max="11536" width="17" style="137" customWidth="1"/>
    <col min="11537" max="11539" width="0" style="137" hidden="1" customWidth="1"/>
    <col min="11540" max="11540" width="16.42578125" style="137" customWidth="1"/>
    <col min="11541" max="11541" width="16.140625" style="137" customWidth="1"/>
    <col min="11542" max="11542" width="16" style="137" customWidth="1"/>
    <col min="11543" max="11543" width="16.28515625" style="137" customWidth="1"/>
    <col min="11544" max="11544" width="14.5703125" style="137" customWidth="1"/>
    <col min="11545" max="11545" width="15.85546875" style="137" customWidth="1"/>
    <col min="11546" max="11546" width="15.140625" style="137" customWidth="1"/>
    <col min="11547" max="11547" width="16" style="137" customWidth="1"/>
    <col min="11548" max="11548" width="16.5703125" style="137" customWidth="1"/>
    <col min="11549" max="11772" width="9.140625" style="137"/>
    <col min="11773" max="11773" width="8.28515625" style="137" customWidth="1"/>
    <col min="11774" max="11774" width="26.140625" style="137" customWidth="1"/>
    <col min="11775" max="11777" width="11.28515625" style="137" customWidth="1"/>
    <col min="11778" max="11778" width="10.28515625" style="137" customWidth="1"/>
    <col min="11779" max="11779" width="15.5703125" style="137" customWidth="1"/>
    <col min="11780" max="11780" width="16" style="137" customWidth="1"/>
    <col min="11781" max="11783" width="0" style="137" hidden="1" customWidth="1"/>
    <col min="11784" max="11784" width="17.140625" style="137" customWidth="1"/>
    <col min="11785" max="11785" width="16.85546875" style="137" customWidth="1"/>
    <col min="11786" max="11786" width="16.5703125" style="137" customWidth="1"/>
    <col min="11787" max="11787" width="16.28515625" style="137" customWidth="1"/>
    <col min="11788" max="11790" width="0" style="137" hidden="1" customWidth="1"/>
    <col min="11791" max="11791" width="16.42578125" style="137" customWidth="1"/>
    <col min="11792" max="11792" width="17" style="137" customWidth="1"/>
    <col min="11793" max="11795" width="0" style="137" hidden="1" customWidth="1"/>
    <col min="11796" max="11796" width="16.42578125" style="137" customWidth="1"/>
    <col min="11797" max="11797" width="16.140625" style="137" customWidth="1"/>
    <col min="11798" max="11798" width="16" style="137" customWidth="1"/>
    <col min="11799" max="11799" width="16.28515625" style="137" customWidth="1"/>
    <col min="11800" max="11800" width="14.5703125" style="137" customWidth="1"/>
    <col min="11801" max="11801" width="15.85546875" style="137" customWidth="1"/>
    <col min="11802" max="11802" width="15.140625" style="137" customWidth="1"/>
    <col min="11803" max="11803" width="16" style="137" customWidth="1"/>
    <col min="11804" max="11804" width="16.5703125" style="137" customWidth="1"/>
    <col min="11805" max="12028" width="9.140625" style="137"/>
    <col min="12029" max="12029" width="8.28515625" style="137" customWidth="1"/>
    <col min="12030" max="12030" width="26.140625" style="137" customWidth="1"/>
    <col min="12031" max="12033" width="11.28515625" style="137" customWidth="1"/>
    <col min="12034" max="12034" width="10.28515625" style="137" customWidth="1"/>
    <col min="12035" max="12035" width="15.5703125" style="137" customWidth="1"/>
    <col min="12036" max="12036" width="16" style="137" customWidth="1"/>
    <col min="12037" max="12039" width="0" style="137" hidden="1" customWidth="1"/>
    <col min="12040" max="12040" width="17.140625" style="137" customWidth="1"/>
    <col min="12041" max="12041" width="16.85546875" style="137" customWidth="1"/>
    <col min="12042" max="12042" width="16.5703125" style="137" customWidth="1"/>
    <col min="12043" max="12043" width="16.28515625" style="137" customWidth="1"/>
    <col min="12044" max="12046" width="0" style="137" hidden="1" customWidth="1"/>
    <col min="12047" max="12047" width="16.42578125" style="137" customWidth="1"/>
    <col min="12048" max="12048" width="17" style="137" customWidth="1"/>
    <col min="12049" max="12051" width="0" style="137" hidden="1" customWidth="1"/>
    <col min="12052" max="12052" width="16.42578125" style="137" customWidth="1"/>
    <col min="12053" max="12053" width="16.140625" style="137" customWidth="1"/>
    <col min="12054" max="12054" width="16" style="137" customWidth="1"/>
    <col min="12055" max="12055" width="16.28515625" style="137" customWidth="1"/>
    <col min="12056" max="12056" width="14.5703125" style="137" customWidth="1"/>
    <col min="12057" max="12057" width="15.85546875" style="137" customWidth="1"/>
    <col min="12058" max="12058" width="15.140625" style="137" customWidth="1"/>
    <col min="12059" max="12059" width="16" style="137" customWidth="1"/>
    <col min="12060" max="12060" width="16.5703125" style="137" customWidth="1"/>
    <col min="12061" max="12284" width="9.140625" style="137"/>
    <col min="12285" max="12285" width="8.28515625" style="137" customWidth="1"/>
    <col min="12286" max="12286" width="26.140625" style="137" customWidth="1"/>
    <col min="12287" max="12289" width="11.28515625" style="137" customWidth="1"/>
    <col min="12290" max="12290" width="10.28515625" style="137" customWidth="1"/>
    <col min="12291" max="12291" width="15.5703125" style="137" customWidth="1"/>
    <col min="12292" max="12292" width="16" style="137" customWidth="1"/>
    <col min="12293" max="12295" width="0" style="137" hidden="1" customWidth="1"/>
    <col min="12296" max="12296" width="17.140625" style="137" customWidth="1"/>
    <col min="12297" max="12297" width="16.85546875" style="137" customWidth="1"/>
    <col min="12298" max="12298" width="16.5703125" style="137" customWidth="1"/>
    <col min="12299" max="12299" width="16.28515625" style="137" customWidth="1"/>
    <col min="12300" max="12302" width="0" style="137" hidden="1" customWidth="1"/>
    <col min="12303" max="12303" width="16.42578125" style="137" customWidth="1"/>
    <col min="12304" max="12304" width="17" style="137" customWidth="1"/>
    <col min="12305" max="12307" width="0" style="137" hidden="1" customWidth="1"/>
    <col min="12308" max="12308" width="16.42578125" style="137" customWidth="1"/>
    <col min="12309" max="12309" width="16.140625" style="137" customWidth="1"/>
    <col min="12310" max="12310" width="16" style="137" customWidth="1"/>
    <col min="12311" max="12311" width="16.28515625" style="137" customWidth="1"/>
    <col min="12312" max="12312" width="14.5703125" style="137" customWidth="1"/>
    <col min="12313" max="12313" width="15.85546875" style="137" customWidth="1"/>
    <col min="12314" max="12314" width="15.140625" style="137" customWidth="1"/>
    <col min="12315" max="12315" width="16" style="137" customWidth="1"/>
    <col min="12316" max="12316" width="16.5703125" style="137" customWidth="1"/>
    <col min="12317" max="12540" width="9.140625" style="137"/>
    <col min="12541" max="12541" width="8.28515625" style="137" customWidth="1"/>
    <col min="12542" max="12542" width="26.140625" style="137" customWidth="1"/>
    <col min="12543" max="12545" width="11.28515625" style="137" customWidth="1"/>
    <col min="12546" max="12546" width="10.28515625" style="137" customWidth="1"/>
    <col min="12547" max="12547" width="15.5703125" style="137" customWidth="1"/>
    <col min="12548" max="12548" width="16" style="137" customWidth="1"/>
    <col min="12549" max="12551" width="0" style="137" hidden="1" customWidth="1"/>
    <col min="12552" max="12552" width="17.140625" style="137" customWidth="1"/>
    <col min="12553" max="12553" width="16.85546875" style="137" customWidth="1"/>
    <col min="12554" max="12554" width="16.5703125" style="137" customWidth="1"/>
    <col min="12555" max="12555" width="16.28515625" style="137" customWidth="1"/>
    <col min="12556" max="12558" width="0" style="137" hidden="1" customWidth="1"/>
    <col min="12559" max="12559" width="16.42578125" style="137" customWidth="1"/>
    <col min="12560" max="12560" width="17" style="137" customWidth="1"/>
    <col min="12561" max="12563" width="0" style="137" hidden="1" customWidth="1"/>
    <col min="12564" max="12564" width="16.42578125" style="137" customWidth="1"/>
    <col min="12565" max="12565" width="16.140625" style="137" customWidth="1"/>
    <col min="12566" max="12566" width="16" style="137" customWidth="1"/>
    <col min="12567" max="12567" width="16.28515625" style="137" customWidth="1"/>
    <col min="12568" max="12568" width="14.5703125" style="137" customWidth="1"/>
    <col min="12569" max="12569" width="15.85546875" style="137" customWidth="1"/>
    <col min="12570" max="12570" width="15.140625" style="137" customWidth="1"/>
    <col min="12571" max="12571" width="16" style="137" customWidth="1"/>
    <col min="12572" max="12572" width="16.5703125" style="137" customWidth="1"/>
    <col min="12573" max="12796" width="9.140625" style="137"/>
    <col min="12797" max="12797" width="8.28515625" style="137" customWidth="1"/>
    <col min="12798" max="12798" width="26.140625" style="137" customWidth="1"/>
    <col min="12799" max="12801" width="11.28515625" style="137" customWidth="1"/>
    <col min="12802" max="12802" width="10.28515625" style="137" customWidth="1"/>
    <col min="12803" max="12803" width="15.5703125" style="137" customWidth="1"/>
    <col min="12804" max="12804" width="16" style="137" customWidth="1"/>
    <col min="12805" max="12807" width="0" style="137" hidden="1" customWidth="1"/>
    <col min="12808" max="12808" width="17.140625" style="137" customWidth="1"/>
    <col min="12809" max="12809" width="16.85546875" style="137" customWidth="1"/>
    <col min="12810" max="12810" width="16.5703125" style="137" customWidth="1"/>
    <col min="12811" max="12811" width="16.28515625" style="137" customWidth="1"/>
    <col min="12812" max="12814" width="0" style="137" hidden="1" customWidth="1"/>
    <col min="12815" max="12815" width="16.42578125" style="137" customWidth="1"/>
    <col min="12816" max="12816" width="17" style="137" customWidth="1"/>
    <col min="12817" max="12819" width="0" style="137" hidden="1" customWidth="1"/>
    <col min="12820" max="12820" width="16.42578125" style="137" customWidth="1"/>
    <col min="12821" max="12821" width="16.140625" style="137" customWidth="1"/>
    <col min="12822" max="12822" width="16" style="137" customWidth="1"/>
    <col min="12823" max="12823" width="16.28515625" style="137" customWidth="1"/>
    <col min="12824" max="12824" width="14.5703125" style="137" customWidth="1"/>
    <col min="12825" max="12825" width="15.85546875" style="137" customWidth="1"/>
    <col min="12826" max="12826" width="15.140625" style="137" customWidth="1"/>
    <col min="12827" max="12827" width="16" style="137" customWidth="1"/>
    <col min="12828" max="12828" width="16.5703125" style="137" customWidth="1"/>
    <col min="12829" max="13052" width="9.140625" style="137"/>
    <col min="13053" max="13053" width="8.28515625" style="137" customWidth="1"/>
    <col min="13054" max="13054" width="26.140625" style="137" customWidth="1"/>
    <col min="13055" max="13057" width="11.28515625" style="137" customWidth="1"/>
    <col min="13058" max="13058" width="10.28515625" style="137" customWidth="1"/>
    <col min="13059" max="13059" width="15.5703125" style="137" customWidth="1"/>
    <col min="13060" max="13060" width="16" style="137" customWidth="1"/>
    <col min="13061" max="13063" width="0" style="137" hidden="1" customWidth="1"/>
    <col min="13064" max="13064" width="17.140625" style="137" customWidth="1"/>
    <col min="13065" max="13065" width="16.85546875" style="137" customWidth="1"/>
    <col min="13066" max="13066" width="16.5703125" style="137" customWidth="1"/>
    <col min="13067" max="13067" width="16.28515625" style="137" customWidth="1"/>
    <col min="13068" max="13070" width="0" style="137" hidden="1" customWidth="1"/>
    <col min="13071" max="13071" width="16.42578125" style="137" customWidth="1"/>
    <col min="13072" max="13072" width="17" style="137" customWidth="1"/>
    <col min="13073" max="13075" width="0" style="137" hidden="1" customWidth="1"/>
    <col min="13076" max="13076" width="16.42578125" style="137" customWidth="1"/>
    <col min="13077" max="13077" width="16.140625" style="137" customWidth="1"/>
    <col min="13078" max="13078" width="16" style="137" customWidth="1"/>
    <col min="13079" max="13079" width="16.28515625" style="137" customWidth="1"/>
    <col min="13080" max="13080" width="14.5703125" style="137" customWidth="1"/>
    <col min="13081" max="13081" width="15.85546875" style="137" customWidth="1"/>
    <col min="13082" max="13082" width="15.140625" style="137" customWidth="1"/>
    <col min="13083" max="13083" width="16" style="137" customWidth="1"/>
    <col min="13084" max="13084" width="16.5703125" style="137" customWidth="1"/>
    <col min="13085" max="13308" width="9.140625" style="137"/>
    <col min="13309" max="13309" width="8.28515625" style="137" customWidth="1"/>
    <col min="13310" max="13310" width="26.140625" style="137" customWidth="1"/>
    <col min="13311" max="13313" width="11.28515625" style="137" customWidth="1"/>
    <col min="13314" max="13314" width="10.28515625" style="137" customWidth="1"/>
    <col min="13315" max="13315" width="15.5703125" style="137" customWidth="1"/>
    <col min="13316" max="13316" width="16" style="137" customWidth="1"/>
    <col min="13317" max="13319" width="0" style="137" hidden="1" customWidth="1"/>
    <col min="13320" max="13320" width="17.140625" style="137" customWidth="1"/>
    <col min="13321" max="13321" width="16.85546875" style="137" customWidth="1"/>
    <col min="13322" max="13322" width="16.5703125" style="137" customWidth="1"/>
    <col min="13323" max="13323" width="16.28515625" style="137" customWidth="1"/>
    <col min="13324" max="13326" width="0" style="137" hidden="1" customWidth="1"/>
    <col min="13327" max="13327" width="16.42578125" style="137" customWidth="1"/>
    <col min="13328" max="13328" width="17" style="137" customWidth="1"/>
    <col min="13329" max="13331" width="0" style="137" hidden="1" customWidth="1"/>
    <col min="13332" max="13332" width="16.42578125" style="137" customWidth="1"/>
    <col min="13333" max="13333" width="16.140625" style="137" customWidth="1"/>
    <col min="13334" max="13334" width="16" style="137" customWidth="1"/>
    <col min="13335" max="13335" width="16.28515625" style="137" customWidth="1"/>
    <col min="13336" max="13336" width="14.5703125" style="137" customWidth="1"/>
    <col min="13337" max="13337" width="15.85546875" style="137" customWidth="1"/>
    <col min="13338" max="13338" width="15.140625" style="137" customWidth="1"/>
    <col min="13339" max="13339" width="16" style="137" customWidth="1"/>
    <col min="13340" max="13340" width="16.5703125" style="137" customWidth="1"/>
    <col min="13341" max="13564" width="9.140625" style="137"/>
    <col min="13565" max="13565" width="8.28515625" style="137" customWidth="1"/>
    <col min="13566" max="13566" width="26.140625" style="137" customWidth="1"/>
    <col min="13567" max="13569" width="11.28515625" style="137" customWidth="1"/>
    <col min="13570" max="13570" width="10.28515625" style="137" customWidth="1"/>
    <col min="13571" max="13571" width="15.5703125" style="137" customWidth="1"/>
    <col min="13572" max="13572" width="16" style="137" customWidth="1"/>
    <col min="13573" max="13575" width="0" style="137" hidden="1" customWidth="1"/>
    <col min="13576" max="13576" width="17.140625" style="137" customWidth="1"/>
    <col min="13577" max="13577" width="16.85546875" style="137" customWidth="1"/>
    <col min="13578" max="13578" width="16.5703125" style="137" customWidth="1"/>
    <col min="13579" max="13579" width="16.28515625" style="137" customWidth="1"/>
    <col min="13580" max="13582" width="0" style="137" hidden="1" customWidth="1"/>
    <col min="13583" max="13583" width="16.42578125" style="137" customWidth="1"/>
    <col min="13584" max="13584" width="17" style="137" customWidth="1"/>
    <col min="13585" max="13587" width="0" style="137" hidden="1" customWidth="1"/>
    <col min="13588" max="13588" width="16.42578125" style="137" customWidth="1"/>
    <col min="13589" max="13589" width="16.140625" style="137" customWidth="1"/>
    <col min="13590" max="13590" width="16" style="137" customWidth="1"/>
    <col min="13591" max="13591" width="16.28515625" style="137" customWidth="1"/>
    <col min="13592" max="13592" width="14.5703125" style="137" customWidth="1"/>
    <col min="13593" max="13593" width="15.85546875" style="137" customWidth="1"/>
    <col min="13594" max="13594" width="15.140625" style="137" customWidth="1"/>
    <col min="13595" max="13595" width="16" style="137" customWidth="1"/>
    <col min="13596" max="13596" width="16.5703125" style="137" customWidth="1"/>
    <col min="13597" max="13820" width="9.140625" style="137"/>
    <col min="13821" max="13821" width="8.28515625" style="137" customWidth="1"/>
    <col min="13822" max="13822" width="26.140625" style="137" customWidth="1"/>
    <col min="13823" max="13825" width="11.28515625" style="137" customWidth="1"/>
    <col min="13826" max="13826" width="10.28515625" style="137" customWidth="1"/>
    <col min="13827" max="13827" width="15.5703125" style="137" customWidth="1"/>
    <col min="13828" max="13828" width="16" style="137" customWidth="1"/>
    <col min="13829" max="13831" width="0" style="137" hidden="1" customWidth="1"/>
    <col min="13832" max="13832" width="17.140625" style="137" customWidth="1"/>
    <col min="13833" max="13833" width="16.85546875" style="137" customWidth="1"/>
    <col min="13834" max="13834" width="16.5703125" style="137" customWidth="1"/>
    <col min="13835" max="13835" width="16.28515625" style="137" customWidth="1"/>
    <col min="13836" max="13838" width="0" style="137" hidden="1" customWidth="1"/>
    <col min="13839" max="13839" width="16.42578125" style="137" customWidth="1"/>
    <col min="13840" max="13840" width="17" style="137" customWidth="1"/>
    <col min="13841" max="13843" width="0" style="137" hidden="1" customWidth="1"/>
    <col min="13844" max="13844" width="16.42578125" style="137" customWidth="1"/>
    <col min="13845" max="13845" width="16.140625" style="137" customWidth="1"/>
    <col min="13846" max="13846" width="16" style="137" customWidth="1"/>
    <col min="13847" max="13847" width="16.28515625" style="137" customWidth="1"/>
    <col min="13848" max="13848" width="14.5703125" style="137" customWidth="1"/>
    <col min="13849" max="13849" width="15.85546875" style="137" customWidth="1"/>
    <col min="13850" max="13850" width="15.140625" style="137" customWidth="1"/>
    <col min="13851" max="13851" width="16" style="137" customWidth="1"/>
    <col min="13852" max="13852" width="16.5703125" style="137" customWidth="1"/>
    <col min="13853" max="14076" width="9.140625" style="137"/>
    <col min="14077" max="14077" width="8.28515625" style="137" customWidth="1"/>
    <col min="14078" max="14078" width="26.140625" style="137" customWidth="1"/>
    <col min="14079" max="14081" width="11.28515625" style="137" customWidth="1"/>
    <col min="14082" max="14082" width="10.28515625" style="137" customWidth="1"/>
    <col min="14083" max="14083" width="15.5703125" style="137" customWidth="1"/>
    <col min="14084" max="14084" width="16" style="137" customWidth="1"/>
    <col min="14085" max="14087" width="0" style="137" hidden="1" customWidth="1"/>
    <col min="14088" max="14088" width="17.140625" style="137" customWidth="1"/>
    <col min="14089" max="14089" width="16.85546875" style="137" customWidth="1"/>
    <col min="14090" max="14090" width="16.5703125" style="137" customWidth="1"/>
    <col min="14091" max="14091" width="16.28515625" style="137" customWidth="1"/>
    <col min="14092" max="14094" width="0" style="137" hidden="1" customWidth="1"/>
    <col min="14095" max="14095" width="16.42578125" style="137" customWidth="1"/>
    <col min="14096" max="14096" width="17" style="137" customWidth="1"/>
    <col min="14097" max="14099" width="0" style="137" hidden="1" customWidth="1"/>
    <col min="14100" max="14100" width="16.42578125" style="137" customWidth="1"/>
    <col min="14101" max="14101" width="16.140625" style="137" customWidth="1"/>
    <col min="14102" max="14102" width="16" style="137" customWidth="1"/>
    <col min="14103" max="14103" width="16.28515625" style="137" customWidth="1"/>
    <col min="14104" max="14104" width="14.5703125" style="137" customWidth="1"/>
    <col min="14105" max="14105" width="15.85546875" style="137" customWidth="1"/>
    <col min="14106" max="14106" width="15.140625" style="137" customWidth="1"/>
    <col min="14107" max="14107" width="16" style="137" customWidth="1"/>
    <col min="14108" max="14108" width="16.5703125" style="137" customWidth="1"/>
    <col min="14109" max="14332" width="9.140625" style="137"/>
    <col min="14333" max="14333" width="8.28515625" style="137" customWidth="1"/>
    <col min="14334" max="14334" width="26.140625" style="137" customWidth="1"/>
    <col min="14335" max="14337" width="11.28515625" style="137" customWidth="1"/>
    <col min="14338" max="14338" width="10.28515625" style="137" customWidth="1"/>
    <col min="14339" max="14339" width="15.5703125" style="137" customWidth="1"/>
    <col min="14340" max="14340" width="16" style="137" customWidth="1"/>
    <col min="14341" max="14343" width="0" style="137" hidden="1" customWidth="1"/>
    <col min="14344" max="14344" width="17.140625" style="137" customWidth="1"/>
    <col min="14345" max="14345" width="16.85546875" style="137" customWidth="1"/>
    <col min="14346" max="14346" width="16.5703125" style="137" customWidth="1"/>
    <col min="14347" max="14347" width="16.28515625" style="137" customWidth="1"/>
    <col min="14348" max="14350" width="0" style="137" hidden="1" customWidth="1"/>
    <col min="14351" max="14351" width="16.42578125" style="137" customWidth="1"/>
    <col min="14352" max="14352" width="17" style="137" customWidth="1"/>
    <col min="14353" max="14355" width="0" style="137" hidden="1" customWidth="1"/>
    <col min="14356" max="14356" width="16.42578125" style="137" customWidth="1"/>
    <col min="14357" max="14357" width="16.140625" style="137" customWidth="1"/>
    <col min="14358" max="14358" width="16" style="137" customWidth="1"/>
    <col min="14359" max="14359" width="16.28515625" style="137" customWidth="1"/>
    <col min="14360" max="14360" width="14.5703125" style="137" customWidth="1"/>
    <col min="14361" max="14361" width="15.85546875" style="137" customWidth="1"/>
    <col min="14362" max="14362" width="15.140625" style="137" customWidth="1"/>
    <col min="14363" max="14363" width="16" style="137" customWidth="1"/>
    <col min="14364" max="14364" width="16.5703125" style="137" customWidth="1"/>
    <col min="14365" max="14588" width="9.140625" style="137"/>
    <col min="14589" max="14589" width="8.28515625" style="137" customWidth="1"/>
    <col min="14590" max="14590" width="26.140625" style="137" customWidth="1"/>
    <col min="14591" max="14593" width="11.28515625" style="137" customWidth="1"/>
    <col min="14594" max="14594" width="10.28515625" style="137" customWidth="1"/>
    <col min="14595" max="14595" width="15.5703125" style="137" customWidth="1"/>
    <col min="14596" max="14596" width="16" style="137" customWidth="1"/>
    <col min="14597" max="14599" width="0" style="137" hidden="1" customWidth="1"/>
    <col min="14600" max="14600" width="17.140625" style="137" customWidth="1"/>
    <col min="14601" max="14601" width="16.85546875" style="137" customWidth="1"/>
    <col min="14602" max="14602" width="16.5703125" style="137" customWidth="1"/>
    <col min="14603" max="14603" width="16.28515625" style="137" customWidth="1"/>
    <col min="14604" max="14606" width="0" style="137" hidden="1" customWidth="1"/>
    <col min="14607" max="14607" width="16.42578125" style="137" customWidth="1"/>
    <col min="14608" max="14608" width="17" style="137" customWidth="1"/>
    <col min="14609" max="14611" width="0" style="137" hidden="1" customWidth="1"/>
    <col min="14612" max="14612" width="16.42578125" style="137" customWidth="1"/>
    <col min="14613" max="14613" width="16.140625" style="137" customWidth="1"/>
    <col min="14614" max="14614" width="16" style="137" customWidth="1"/>
    <col min="14615" max="14615" width="16.28515625" style="137" customWidth="1"/>
    <col min="14616" max="14616" width="14.5703125" style="137" customWidth="1"/>
    <col min="14617" max="14617" width="15.85546875" style="137" customWidth="1"/>
    <col min="14618" max="14618" width="15.140625" style="137" customWidth="1"/>
    <col min="14619" max="14619" width="16" style="137" customWidth="1"/>
    <col min="14620" max="14620" width="16.5703125" style="137" customWidth="1"/>
    <col min="14621" max="14844" width="9.140625" style="137"/>
    <col min="14845" max="14845" width="8.28515625" style="137" customWidth="1"/>
    <col min="14846" max="14846" width="26.140625" style="137" customWidth="1"/>
    <col min="14847" max="14849" width="11.28515625" style="137" customWidth="1"/>
    <col min="14850" max="14850" width="10.28515625" style="137" customWidth="1"/>
    <col min="14851" max="14851" width="15.5703125" style="137" customWidth="1"/>
    <col min="14852" max="14852" width="16" style="137" customWidth="1"/>
    <col min="14853" max="14855" width="0" style="137" hidden="1" customWidth="1"/>
    <col min="14856" max="14856" width="17.140625" style="137" customWidth="1"/>
    <col min="14857" max="14857" width="16.85546875" style="137" customWidth="1"/>
    <col min="14858" max="14858" width="16.5703125" style="137" customWidth="1"/>
    <col min="14859" max="14859" width="16.28515625" style="137" customWidth="1"/>
    <col min="14860" max="14862" width="0" style="137" hidden="1" customWidth="1"/>
    <col min="14863" max="14863" width="16.42578125" style="137" customWidth="1"/>
    <col min="14864" max="14864" width="17" style="137" customWidth="1"/>
    <col min="14865" max="14867" width="0" style="137" hidden="1" customWidth="1"/>
    <col min="14868" max="14868" width="16.42578125" style="137" customWidth="1"/>
    <col min="14869" max="14869" width="16.140625" style="137" customWidth="1"/>
    <col min="14870" max="14870" width="16" style="137" customWidth="1"/>
    <col min="14871" max="14871" width="16.28515625" style="137" customWidth="1"/>
    <col min="14872" max="14872" width="14.5703125" style="137" customWidth="1"/>
    <col min="14873" max="14873" width="15.85546875" style="137" customWidth="1"/>
    <col min="14874" max="14874" width="15.140625" style="137" customWidth="1"/>
    <col min="14875" max="14875" width="16" style="137" customWidth="1"/>
    <col min="14876" max="14876" width="16.5703125" style="137" customWidth="1"/>
    <col min="14877" max="15100" width="9.140625" style="137"/>
    <col min="15101" max="15101" width="8.28515625" style="137" customWidth="1"/>
    <col min="15102" max="15102" width="26.140625" style="137" customWidth="1"/>
    <col min="15103" max="15105" width="11.28515625" style="137" customWidth="1"/>
    <col min="15106" max="15106" width="10.28515625" style="137" customWidth="1"/>
    <col min="15107" max="15107" width="15.5703125" style="137" customWidth="1"/>
    <col min="15108" max="15108" width="16" style="137" customWidth="1"/>
    <col min="15109" max="15111" width="0" style="137" hidden="1" customWidth="1"/>
    <col min="15112" max="15112" width="17.140625" style="137" customWidth="1"/>
    <col min="15113" max="15113" width="16.85546875" style="137" customWidth="1"/>
    <col min="15114" max="15114" width="16.5703125" style="137" customWidth="1"/>
    <col min="15115" max="15115" width="16.28515625" style="137" customWidth="1"/>
    <col min="15116" max="15118" width="0" style="137" hidden="1" customWidth="1"/>
    <col min="15119" max="15119" width="16.42578125" style="137" customWidth="1"/>
    <col min="15120" max="15120" width="17" style="137" customWidth="1"/>
    <col min="15121" max="15123" width="0" style="137" hidden="1" customWidth="1"/>
    <col min="15124" max="15124" width="16.42578125" style="137" customWidth="1"/>
    <col min="15125" max="15125" width="16.140625" style="137" customWidth="1"/>
    <col min="15126" max="15126" width="16" style="137" customWidth="1"/>
    <col min="15127" max="15127" width="16.28515625" style="137" customWidth="1"/>
    <col min="15128" max="15128" width="14.5703125" style="137" customWidth="1"/>
    <col min="15129" max="15129" width="15.85546875" style="137" customWidth="1"/>
    <col min="15130" max="15130" width="15.140625" style="137" customWidth="1"/>
    <col min="15131" max="15131" width="16" style="137" customWidth="1"/>
    <col min="15132" max="15132" width="16.5703125" style="137" customWidth="1"/>
    <col min="15133" max="15356" width="9.140625" style="137"/>
    <col min="15357" max="15357" width="8.28515625" style="137" customWidth="1"/>
    <col min="15358" max="15358" width="26.140625" style="137" customWidth="1"/>
    <col min="15359" max="15361" width="11.28515625" style="137" customWidth="1"/>
    <col min="15362" max="15362" width="10.28515625" style="137" customWidth="1"/>
    <col min="15363" max="15363" width="15.5703125" style="137" customWidth="1"/>
    <col min="15364" max="15364" width="16" style="137" customWidth="1"/>
    <col min="15365" max="15367" width="0" style="137" hidden="1" customWidth="1"/>
    <col min="15368" max="15368" width="17.140625" style="137" customWidth="1"/>
    <col min="15369" max="15369" width="16.85546875" style="137" customWidth="1"/>
    <col min="15370" max="15370" width="16.5703125" style="137" customWidth="1"/>
    <col min="15371" max="15371" width="16.28515625" style="137" customWidth="1"/>
    <col min="15372" max="15374" width="0" style="137" hidden="1" customWidth="1"/>
    <col min="15375" max="15375" width="16.42578125" style="137" customWidth="1"/>
    <col min="15376" max="15376" width="17" style="137" customWidth="1"/>
    <col min="15377" max="15379" width="0" style="137" hidden="1" customWidth="1"/>
    <col min="15380" max="15380" width="16.42578125" style="137" customWidth="1"/>
    <col min="15381" max="15381" width="16.140625" style="137" customWidth="1"/>
    <col min="15382" max="15382" width="16" style="137" customWidth="1"/>
    <col min="15383" max="15383" width="16.28515625" style="137" customWidth="1"/>
    <col min="15384" max="15384" width="14.5703125" style="137" customWidth="1"/>
    <col min="15385" max="15385" width="15.85546875" style="137" customWidth="1"/>
    <col min="15386" max="15386" width="15.140625" style="137" customWidth="1"/>
    <col min="15387" max="15387" width="16" style="137" customWidth="1"/>
    <col min="15388" max="15388" width="16.5703125" style="137" customWidth="1"/>
    <col min="15389" max="15612" width="9.140625" style="137"/>
    <col min="15613" max="15613" width="8.28515625" style="137" customWidth="1"/>
    <col min="15614" max="15614" width="26.140625" style="137" customWidth="1"/>
    <col min="15615" max="15617" width="11.28515625" style="137" customWidth="1"/>
    <col min="15618" max="15618" width="10.28515625" style="137" customWidth="1"/>
    <col min="15619" max="15619" width="15.5703125" style="137" customWidth="1"/>
    <col min="15620" max="15620" width="16" style="137" customWidth="1"/>
    <col min="15621" max="15623" width="0" style="137" hidden="1" customWidth="1"/>
    <col min="15624" max="15624" width="17.140625" style="137" customWidth="1"/>
    <col min="15625" max="15625" width="16.85546875" style="137" customWidth="1"/>
    <col min="15626" max="15626" width="16.5703125" style="137" customWidth="1"/>
    <col min="15627" max="15627" width="16.28515625" style="137" customWidth="1"/>
    <col min="15628" max="15630" width="0" style="137" hidden="1" customWidth="1"/>
    <col min="15631" max="15631" width="16.42578125" style="137" customWidth="1"/>
    <col min="15632" max="15632" width="17" style="137" customWidth="1"/>
    <col min="15633" max="15635" width="0" style="137" hidden="1" customWidth="1"/>
    <col min="15636" max="15636" width="16.42578125" style="137" customWidth="1"/>
    <col min="15637" max="15637" width="16.140625" style="137" customWidth="1"/>
    <col min="15638" max="15638" width="16" style="137" customWidth="1"/>
    <col min="15639" max="15639" width="16.28515625" style="137" customWidth="1"/>
    <col min="15640" max="15640" width="14.5703125" style="137" customWidth="1"/>
    <col min="15641" max="15641" width="15.85546875" style="137" customWidth="1"/>
    <col min="15642" max="15642" width="15.140625" style="137" customWidth="1"/>
    <col min="15643" max="15643" width="16" style="137" customWidth="1"/>
    <col min="15644" max="15644" width="16.5703125" style="137" customWidth="1"/>
    <col min="15645" max="15868" width="9.140625" style="137"/>
    <col min="15869" max="15869" width="8.28515625" style="137" customWidth="1"/>
    <col min="15870" max="15870" width="26.140625" style="137" customWidth="1"/>
    <col min="15871" max="15873" width="11.28515625" style="137" customWidth="1"/>
    <col min="15874" max="15874" width="10.28515625" style="137" customWidth="1"/>
    <col min="15875" max="15875" width="15.5703125" style="137" customWidth="1"/>
    <col min="15876" max="15876" width="16" style="137" customWidth="1"/>
    <col min="15877" max="15879" width="0" style="137" hidden="1" customWidth="1"/>
    <col min="15880" max="15880" width="17.140625" style="137" customWidth="1"/>
    <col min="15881" max="15881" width="16.85546875" style="137" customWidth="1"/>
    <col min="15882" max="15882" width="16.5703125" style="137" customWidth="1"/>
    <col min="15883" max="15883" width="16.28515625" style="137" customWidth="1"/>
    <col min="15884" max="15886" width="0" style="137" hidden="1" customWidth="1"/>
    <col min="15887" max="15887" width="16.42578125" style="137" customWidth="1"/>
    <col min="15888" max="15888" width="17" style="137" customWidth="1"/>
    <col min="15889" max="15891" width="0" style="137" hidden="1" customWidth="1"/>
    <col min="15892" max="15892" width="16.42578125" style="137" customWidth="1"/>
    <col min="15893" max="15893" width="16.140625" style="137" customWidth="1"/>
    <col min="15894" max="15894" width="16" style="137" customWidth="1"/>
    <col min="15895" max="15895" width="16.28515625" style="137" customWidth="1"/>
    <col min="15896" max="15896" width="14.5703125" style="137" customWidth="1"/>
    <col min="15897" max="15897" width="15.85546875" style="137" customWidth="1"/>
    <col min="15898" max="15898" width="15.140625" style="137" customWidth="1"/>
    <col min="15899" max="15899" width="16" style="137" customWidth="1"/>
    <col min="15900" max="15900" width="16.5703125" style="137" customWidth="1"/>
    <col min="15901" max="16124" width="9.140625" style="137"/>
    <col min="16125" max="16125" width="8.28515625" style="137" customWidth="1"/>
    <col min="16126" max="16126" width="26.140625" style="137" customWidth="1"/>
    <col min="16127" max="16129" width="11.28515625" style="137" customWidth="1"/>
    <col min="16130" max="16130" width="10.28515625" style="137" customWidth="1"/>
    <col min="16131" max="16131" width="15.5703125" style="137" customWidth="1"/>
    <col min="16132" max="16132" width="16" style="137" customWidth="1"/>
    <col min="16133" max="16135" width="0" style="137" hidden="1" customWidth="1"/>
    <col min="16136" max="16136" width="17.140625" style="137" customWidth="1"/>
    <col min="16137" max="16137" width="16.85546875" style="137" customWidth="1"/>
    <col min="16138" max="16138" width="16.5703125" style="137" customWidth="1"/>
    <col min="16139" max="16139" width="16.28515625" style="137" customWidth="1"/>
    <col min="16140" max="16142" width="0" style="137" hidden="1" customWidth="1"/>
    <col min="16143" max="16143" width="16.42578125" style="137" customWidth="1"/>
    <col min="16144" max="16144" width="17" style="137" customWidth="1"/>
    <col min="16145" max="16147" width="0" style="137" hidden="1" customWidth="1"/>
    <col min="16148" max="16148" width="16.42578125" style="137" customWidth="1"/>
    <col min="16149" max="16149" width="16.140625" style="137" customWidth="1"/>
    <col min="16150" max="16150" width="16" style="137" customWidth="1"/>
    <col min="16151" max="16151" width="16.28515625" style="137" customWidth="1"/>
    <col min="16152" max="16152" width="14.5703125" style="137" customWidth="1"/>
    <col min="16153" max="16153" width="15.85546875" style="137" customWidth="1"/>
    <col min="16154" max="16154" width="15.140625" style="137" customWidth="1"/>
    <col min="16155" max="16155" width="16" style="137" customWidth="1"/>
    <col min="16156" max="16156" width="16.5703125" style="137" customWidth="1"/>
    <col min="16157" max="16384" width="9.140625" style="137"/>
  </cols>
  <sheetData>
    <row r="1" spans="1:40">
      <c r="A1" s="134"/>
      <c r="B1" s="134"/>
      <c r="C1" s="134"/>
      <c r="D1" s="134"/>
      <c r="E1" s="134"/>
      <c r="F1" s="134"/>
      <c r="G1" s="134"/>
      <c r="H1" s="134"/>
      <c r="I1" s="134"/>
      <c r="J1" s="135"/>
      <c r="K1" s="135"/>
      <c r="L1" s="135"/>
      <c r="M1" s="135"/>
      <c r="N1" s="135"/>
      <c r="O1" s="136"/>
      <c r="P1" s="136"/>
      <c r="Q1" s="136"/>
      <c r="R1" s="136"/>
      <c r="S1" s="136"/>
      <c r="T1" s="136"/>
      <c r="U1" s="136"/>
      <c r="V1" s="136"/>
      <c r="W1" s="136"/>
    </row>
    <row r="2" spans="1:40" s="139" customFormat="1" ht="51.75" customHeight="1">
      <c r="A2" s="138"/>
      <c r="B2" s="138"/>
      <c r="C2" s="389" t="s">
        <v>301</v>
      </c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138"/>
      <c r="S2" s="138"/>
      <c r="T2" s="138"/>
      <c r="U2" s="138"/>
      <c r="V2" s="138"/>
      <c r="W2" s="138"/>
    </row>
    <row r="3" spans="1:40">
      <c r="A3" s="140"/>
      <c r="B3" s="140"/>
      <c r="C3" s="140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2"/>
      <c r="P3" s="136"/>
      <c r="Q3" s="136"/>
      <c r="R3" s="136"/>
      <c r="S3" s="136"/>
      <c r="T3" s="136"/>
      <c r="U3" s="136"/>
      <c r="W3" s="136"/>
      <c r="Z3" s="136" t="s">
        <v>80</v>
      </c>
      <c r="AA3" s="143"/>
      <c r="AB3" s="143"/>
    </row>
    <row r="4" spans="1:40" ht="67.5" customHeight="1">
      <c r="A4" s="551" t="s">
        <v>9</v>
      </c>
      <c r="B4" s="385" t="s">
        <v>27</v>
      </c>
      <c r="C4" s="540" t="s">
        <v>10</v>
      </c>
      <c r="D4" s="541"/>
      <c r="E4" s="541"/>
      <c r="F4" s="541"/>
      <c r="G4" s="541"/>
      <c r="H4" s="542"/>
      <c r="I4" s="540" t="s">
        <v>297</v>
      </c>
      <c r="J4" s="541"/>
      <c r="K4" s="542"/>
      <c r="L4" s="144"/>
      <c r="M4" s="144"/>
      <c r="N4" s="144"/>
      <c r="O4" s="540" t="s">
        <v>487</v>
      </c>
      <c r="P4" s="541"/>
      <c r="Q4" s="541"/>
      <c r="R4" s="541"/>
      <c r="S4" s="541"/>
      <c r="T4" s="542"/>
      <c r="U4" s="540" t="s">
        <v>488</v>
      </c>
      <c r="V4" s="541"/>
      <c r="W4" s="541"/>
      <c r="X4" s="540" t="s">
        <v>11</v>
      </c>
      <c r="Y4" s="541"/>
      <c r="Z4" s="541"/>
      <c r="AA4" s="541"/>
      <c r="AB4" s="542"/>
      <c r="AF4" s="536"/>
      <c r="AG4" s="536"/>
      <c r="AH4" s="536"/>
      <c r="AI4" s="536"/>
      <c r="AJ4" s="536"/>
      <c r="AK4" s="145"/>
      <c r="AL4" s="145"/>
      <c r="AM4" s="145"/>
      <c r="AN4" s="145"/>
    </row>
    <row r="5" spans="1:40" ht="36" customHeight="1">
      <c r="A5" s="551"/>
      <c r="B5" s="386"/>
      <c r="C5" s="539" t="s">
        <v>386</v>
      </c>
      <c r="D5" s="543" t="s">
        <v>427</v>
      </c>
      <c r="E5" s="544"/>
      <c r="F5" s="544"/>
      <c r="G5" s="545"/>
      <c r="H5" s="539" t="s">
        <v>428</v>
      </c>
      <c r="I5" s="539" t="s">
        <v>387</v>
      </c>
      <c r="J5" s="549" t="s">
        <v>427</v>
      </c>
      <c r="K5" s="543" t="s">
        <v>428</v>
      </c>
      <c r="L5" s="544"/>
      <c r="M5" s="544"/>
      <c r="N5" s="545"/>
      <c r="O5" s="539" t="s">
        <v>386</v>
      </c>
      <c r="P5" s="549" t="s">
        <v>427</v>
      </c>
      <c r="Q5" s="543" t="s">
        <v>429</v>
      </c>
      <c r="R5" s="544"/>
      <c r="S5" s="544"/>
      <c r="T5" s="545"/>
      <c r="U5" s="539" t="s">
        <v>387</v>
      </c>
      <c r="V5" s="549" t="s">
        <v>427</v>
      </c>
      <c r="W5" s="539" t="s">
        <v>428</v>
      </c>
      <c r="X5" s="539" t="s">
        <v>386</v>
      </c>
      <c r="Y5" s="537" t="s">
        <v>427</v>
      </c>
      <c r="Z5" s="539" t="s">
        <v>428</v>
      </c>
      <c r="AA5" s="537" t="s">
        <v>298</v>
      </c>
      <c r="AB5" s="537" t="s">
        <v>299</v>
      </c>
      <c r="AC5" s="145"/>
      <c r="AD5" s="145"/>
      <c r="AE5" s="145"/>
      <c r="AF5" s="536"/>
      <c r="AG5" s="536"/>
      <c r="AH5" s="536"/>
      <c r="AI5" s="536"/>
      <c r="AJ5" s="536"/>
      <c r="AK5" s="536"/>
      <c r="AL5" s="536"/>
      <c r="AM5" s="536"/>
      <c r="AN5" s="536"/>
    </row>
    <row r="6" spans="1:40" ht="44.25" customHeight="1">
      <c r="A6" s="551"/>
      <c r="B6" s="387"/>
      <c r="C6" s="539"/>
      <c r="D6" s="546"/>
      <c r="E6" s="547"/>
      <c r="F6" s="547"/>
      <c r="G6" s="548"/>
      <c r="H6" s="539"/>
      <c r="I6" s="539"/>
      <c r="J6" s="550"/>
      <c r="K6" s="546"/>
      <c r="L6" s="547"/>
      <c r="M6" s="547"/>
      <c r="N6" s="548"/>
      <c r="O6" s="539"/>
      <c r="P6" s="550"/>
      <c r="Q6" s="546"/>
      <c r="R6" s="547"/>
      <c r="S6" s="547"/>
      <c r="T6" s="548"/>
      <c r="U6" s="539"/>
      <c r="V6" s="550"/>
      <c r="W6" s="539"/>
      <c r="X6" s="539"/>
      <c r="Y6" s="538"/>
      <c r="Z6" s="539"/>
      <c r="AA6" s="538"/>
      <c r="AB6" s="538"/>
      <c r="AC6" s="145"/>
      <c r="AD6" s="145"/>
      <c r="AE6" s="145"/>
      <c r="AF6" s="536"/>
      <c r="AG6" s="536"/>
      <c r="AH6" s="536"/>
      <c r="AI6" s="536"/>
      <c r="AJ6" s="536"/>
      <c r="AK6" s="536"/>
      <c r="AL6" s="536"/>
      <c r="AM6" s="536"/>
      <c r="AN6" s="536"/>
    </row>
    <row r="7" spans="1:40" ht="30" customHeight="1">
      <c r="A7" s="146">
        <v>1</v>
      </c>
      <c r="B7" s="383">
        <v>2</v>
      </c>
      <c r="C7" s="146">
        <v>3</v>
      </c>
      <c r="D7" s="146">
        <v>4</v>
      </c>
      <c r="E7" s="146">
        <v>5</v>
      </c>
      <c r="F7" s="146">
        <v>6</v>
      </c>
      <c r="G7" s="146">
        <v>7</v>
      </c>
      <c r="H7" s="146">
        <v>5</v>
      </c>
      <c r="I7" s="146">
        <v>6</v>
      </c>
      <c r="J7" s="146">
        <v>7</v>
      </c>
      <c r="K7" s="146">
        <v>8</v>
      </c>
      <c r="L7" s="146">
        <v>15</v>
      </c>
      <c r="M7" s="146">
        <v>16</v>
      </c>
      <c r="N7" s="146">
        <v>17</v>
      </c>
      <c r="O7" s="147">
        <v>9</v>
      </c>
      <c r="P7" s="147">
        <v>10</v>
      </c>
      <c r="Q7" s="147">
        <v>20</v>
      </c>
      <c r="R7" s="147">
        <v>21</v>
      </c>
      <c r="S7" s="147">
        <v>22</v>
      </c>
      <c r="T7" s="147">
        <v>11</v>
      </c>
      <c r="U7" s="147">
        <v>12</v>
      </c>
      <c r="V7" s="147">
        <v>13</v>
      </c>
      <c r="W7" s="148">
        <v>14</v>
      </c>
      <c r="X7" s="149">
        <v>15</v>
      </c>
      <c r="Y7" s="149">
        <v>16</v>
      </c>
      <c r="Z7" s="149">
        <v>17</v>
      </c>
      <c r="AA7" s="146">
        <v>18</v>
      </c>
      <c r="AB7" s="146">
        <v>19</v>
      </c>
      <c r="AC7" s="150"/>
      <c r="AD7" s="150"/>
      <c r="AE7" s="150"/>
      <c r="AF7" s="134"/>
      <c r="AG7" s="134"/>
      <c r="AH7" s="134"/>
      <c r="AI7" s="134"/>
      <c r="AJ7" s="134"/>
      <c r="AK7" s="134"/>
      <c r="AL7" s="134"/>
      <c r="AM7" s="134"/>
      <c r="AN7" s="134"/>
    </row>
    <row r="8" spans="1:40" ht="48" customHeight="1">
      <c r="A8" s="166">
        <v>1</v>
      </c>
      <c r="B8" s="384" t="s">
        <v>133</v>
      </c>
      <c r="C8" s="73">
        <f t="shared" ref="C8:I8" si="0">SUM(C9:C14)</f>
        <v>0</v>
      </c>
      <c r="D8" s="73">
        <f t="shared" si="0"/>
        <v>0</v>
      </c>
      <c r="E8" s="73">
        <f t="shared" si="0"/>
        <v>0</v>
      </c>
      <c r="F8" s="73">
        <f t="shared" si="0"/>
        <v>0</v>
      </c>
      <c r="G8" s="73">
        <f t="shared" si="0"/>
        <v>0</v>
      </c>
      <c r="H8" s="73">
        <f t="shared" si="0"/>
        <v>0</v>
      </c>
      <c r="I8" s="73">
        <f t="shared" si="0"/>
        <v>0</v>
      </c>
      <c r="J8" s="73">
        <f>SUM(J9:J25)</f>
        <v>200</v>
      </c>
      <c r="K8" s="73">
        <f>SUM(K9:K14)</f>
        <v>0</v>
      </c>
      <c r="L8" s="73">
        <f>SUM(L9:L14)</f>
        <v>0</v>
      </c>
      <c r="M8" s="73">
        <f>SUM(M9:M14)</f>
        <v>0</v>
      </c>
      <c r="N8" s="73">
        <f>SUM(N9:N14)</f>
        <v>0</v>
      </c>
      <c r="O8" s="73">
        <f>SUM(O9:O25)</f>
        <v>31.5</v>
      </c>
      <c r="P8" s="73">
        <f>SUM(P9:S29)</f>
        <v>0</v>
      </c>
      <c r="Q8" s="73">
        <f>SUM(Q9:Q14)</f>
        <v>0</v>
      </c>
      <c r="R8" s="73">
        <f>SUM(R9:R14)</f>
        <v>0</v>
      </c>
      <c r="S8" s="73">
        <f>SUM(S9:S14)</f>
        <v>0</v>
      </c>
      <c r="T8" s="73">
        <f>SUM(T9:T29)</f>
        <v>1925.1000000000001</v>
      </c>
      <c r="U8" s="73">
        <f>SUM(U9:U25)</f>
        <v>841.5999999999998</v>
      </c>
      <c r="V8" s="74">
        <f>SUM(V9:V23)</f>
        <v>2666.7</v>
      </c>
      <c r="W8" s="74">
        <f>SUM(W9:W28)</f>
        <v>298.39999999999998</v>
      </c>
      <c r="X8" s="151">
        <f>SUM(C8,I8,O8,U8)</f>
        <v>873.0999999999998</v>
      </c>
      <c r="Y8" s="151">
        <f>SUM(D8,J8,P8,V8)</f>
        <v>2866.7</v>
      </c>
      <c r="Z8" s="151">
        <f>SUM(H8,K8,T8,W8)</f>
        <v>2223.5</v>
      </c>
      <c r="AA8" s="74">
        <f>Z8-Y8</f>
        <v>-643.19999999999982</v>
      </c>
      <c r="AB8" s="74">
        <f>Z8/Y8*100</f>
        <v>77.563051592423349</v>
      </c>
      <c r="AC8" s="152"/>
      <c r="AD8" s="152"/>
      <c r="AE8" s="152"/>
      <c r="AF8" s="153"/>
      <c r="AG8" s="153"/>
      <c r="AH8" s="154"/>
      <c r="AI8" s="154"/>
      <c r="AJ8" s="154"/>
      <c r="AK8" s="154"/>
      <c r="AL8" s="154"/>
      <c r="AM8" s="154"/>
      <c r="AN8" s="152"/>
    </row>
    <row r="9" spans="1:40" ht="43.5" customHeight="1">
      <c r="A9" s="166"/>
      <c r="B9" s="383" t="str">
        <f>'Розшифровка кап'!A7</f>
        <v>електрокардіограф Юкард-100  (3 шт.-2022р.)</v>
      </c>
      <c r="C9" s="155"/>
      <c r="D9" s="155"/>
      <c r="E9" s="155"/>
      <c r="F9" s="155"/>
      <c r="G9" s="155"/>
      <c r="H9" s="155"/>
      <c r="I9" s="155"/>
      <c r="J9" s="155"/>
      <c r="K9" s="156"/>
      <c r="L9" s="155"/>
      <c r="M9" s="155"/>
      <c r="N9" s="155"/>
      <c r="O9" s="155"/>
      <c r="P9" s="157"/>
      <c r="Q9" s="157"/>
      <c r="R9" s="157"/>
      <c r="S9" s="157"/>
      <c r="T9" s="155"/>
      <c r="U9" s="159"/>
      <c r="V9" s="158">
        <v>166.7</v>
      </c>
      <c r="W9" s="159"/>
      <c r="X9" s="160">
        <f t="shared" ref="X9:Y31" si="1">SUM(C9,I9,O9,U9)</f>
        <v>0</v>
      </c>
      <c r="Y9" s="160">
        <f>SUM(D9,J9,P9,V9)</f>
        <v>166.7</v>
      </c>
      <c r="Z9" s="160">
        <f t="shared" ref="Z9:Z30" si="2">SUM(H9,K9,T9,W9)</f>
        <v>0</v>
      </c>
      <c r="AA9" s="161">
        <f t="shared" ref="AA9:AA30" si="3">Z9-Y9</f>
        <v>-166.7</v>
      </c>
      <c r="AB9" s="12">
        <f t="shared" ref="AB9:AB25" si="4">Z9/Y9*100</f>
        <v>0</v>
      </c>
      <c r="AC9" s="162"/>
      <c r="AD9" s="162"/>
      <c r="AE9" s="162"/>
      <c r="AF9" s="153"/>
      <c r="AG9" s="153"/>
      <c r="AH9" s="163"/>
      <c r="AI9" s="163"/>
      <c r="AJ9" s="163"/>
      <c r="AK9" s="162"/>
      <c r="AL9" s="162"/>
      <c r="AM9" s="162"/>
      <c r="AN9" s="162"/>
    </row>
    <row r="10" spans="1:40" ht="54.75" customHeight="1">
      <c r="A10" s="166"/>
      <c r="B10" s="383" t="str">
        <f>'Розшифровка кап'!A8</f>
        <v>легковий автомобіль Peugeot 301 (1шт-2021р.) ,  (2шт-2022р.)</v>
      </c>
      <c r="C10" s="155"/>
      <c r="D10" s="155"/>
      <c r="E10" s="155"/>
      <c r="F10" s="155"/>
      <c r="G10" s="155"/>
      <c r="H10" s="155"/>
      <c r="I10" s="155"/>
      <c r="J10" s="155"/>
      <c r="K10" s="156"/>
      <c r="L10" s="155"/>
      <c r="M10" s="155"/>
      <c r="N10" s="155"/>
      <c r="O10" s="155"/>
      <c r="P10" s="157"/>
      <c r="Q10" s="157"/>
      <c r="R10" s="157"/>
      <c r="S10" s="157"/>
      <c r="T10" s="155"/>
      <c r="U10" s="159">
        <v>474</v>
      </c>
      <c r="V10" s="161">
        <v>833.3</v>
      </c>
      <c r="W10" s="159"/>
      <c r="X10" s="160">
        <f t="shared" si="1"/>
        <v>474</v>
      </c>
      <c r="Y10" s="160">
        <f t="shared" ref="Y10:Y14" si="5">SUM(D10,J10,P10,V10)</f>
        <v>833.3</v>
      </c>
      <c r="Z10" s="160">
        <f t="shared" si="2"/>
        <v>0</v>
      </c>
      <c r="AA10" s="161">
        <f t="shared" si="3"/>
        <v>-833.3</v>
      </c>
      <c r="AB10" s="12">
        <f t="shared" si="4"/>
        <v>0</v>
      </c>
      <c r="AC10" s="162"/>
      <c r="AD10" s="162"/>
      <c r="AE10" s="162"/>
      <c r="AF10" s="153"/>
      <c r="AG10" s="153"/>
      <c r="AH10" s="163"/>
      <c r="AI10" s="163"/>
      <c r="AJ10" s="163"/>
      <c r="AK10" s="162"/>
      <c r="AL10" s="162"/>
      <c r="AM10" s="162"/>
      <c r="AN10" s="164"/>
    </row>
    <row r="11" spans="1:40" ht="46.5" customHeight="1">
      <c r="A11" s="166"/>
      <c r="B11" s="383" t="str">
        <f>'Розшифровка кап'!A9</f>
        <v>комп'ютерний комплекс   (9шт-2021р.) , (10 шт-2022р.)</v>
      </c>
      <c r="C11" s="155"/>
      <c r="D11" s="155"/>
      <c r="E11" s="155"/>
      <c r="F11" s="155"/>
      <c r="G11" s="155"/>
      <c r="H11" s="155"/>
      <c r="I11" s="155"/>
      <c r="J11" s="155"/>
      <c r="K11" s="156"/>
      <c r="L11" s="155"/>
      <c r="M11" s="155"/>
      <c r="N11" s="155"/>
      <c r="O11" s="155"/>
      <c r="P11" s="157"/>
      <c r="Q11" s="157"/>
      <c r="R11" s="157"/>
      <c r="S11" s="157"/>
      <c r="T11" s="155"/>
      <c r="U11" s="159">
        <v>73.900000000000006</v>
      </c>
      <c r="V11" s="161">
        <v>291.7</v>
      </c>
      <c r="W11" s="159"/>
      <c r="X11" s="160">
        <f t="shared" si="1"/>
        <v>73.900000000000006</v>
      </c>
      <c r="Y11" s="160">
        <f t="shared" si="5"/>
        <v>291.7</v>
      </c>
      <c r="Z11" s="160">
        <f t="shared" si="2"/>
        <v>0</v>
      </c>
      <c r="AA11" s="161">
        <f t="shared" si="3"/>
        <v>-291.7</v>
      </c>
      <c r="AB11" s="12">
        <f t="shared" si="4"/>
        <v>0</v>
      </c>
      <c r="AC11" s="162"/>
      <c r="AD11" s="162"/>
      <c r="AE11" s="162"/>
      <c r="AF11" s="153"/>
      <c r="AG11" s="153"/>
      <c r="AH11" s="163"/>
      <c r="AI11" s="163"/>
      <c r="AJ11" s="163"/>
      <c r="AK11" s="162"/>
      <c r="AL11" s="162"/>
      <c r="AM11" s="162"/>
      <c r="AN11" s="164"/>
    </row>
    <row r="12" spans="1:40" ht="39" customHeight="1">
      <c r="A12" s="166"/>
      <c r="B12" s="383" t="str">
        <f>'Розшифровка кап'!A10</f>
        <v>комутатор  (1шт-2021р.)</v>
      </c>
      <c r="C12" s="155"/>
      <c r="D12" s="155"/>
      <c r="E12" s="155"/>
      <c r="F12" s="155"/>
      <c r="G12" s="155"/>
      <c r="H12" s="155"/>
      <c r="I12" s="155"/>
      <c r="J12" s="155"/>
      <c r="K12" s="156"/>
      <c r="L12" s="155"/>
      <c r="M12" s="155"/>
      <c r="N12" s="155"/>
      <c r="O12" s="155"/>
      <c r="P12" s="157"/>
      <c r="Q12" s="157"/>
      <c r="R12" s="157"/>
      <c r="S12" s="157"/>
      <c r="T12" s="155"/>
      <c r="U12" s="159">
        <v>21.3</v>
      </c>
      <c r="V12" s="161"/>
      <c r="W12" s="159"/>
      <c r="X12" s="160">
        <f t="shared" si="1"/>
        <v>21.3</v>
      </c>
      <c r="Y12" s="160">
        <f t="shared" si="5"/>
        <v>0</v>
      </c>
      <c r="Z12" s="160">
        <f t="shared" si="2"/>
        <v>0</v>
      </c>
      <c r="AA12" s="161">
        <f t="shared" si="3"/>
        <v>0</v>
      </c>
      <c r="AB12" s="197" t="e">
        <f t="shared" si="4"/>
        <v>#DIV/0!</v>
      </c>
      <c r="AC12" s="162"/>
      <c r="AD12" s="162"/>
      <c r="AE12" s="162"/>
      <c r="AF12" s="153"/>
      <c r="AG12" s="153"/>
      <c r="AH12" s="163"/>
      <c r="AI12" s="163"/>
      <c r="AJ12" s="163"/>
      <c r="AK12" s="162"/>
      <c r="AL12" s="162"/>
      <c r="AM12" s="162"/>
      <c r="AN12" s="164"/>
    </row>
    <row r="13" spans="1:40" ht="33.75" customHeight="1">
      <c r="A13" s="166"/>
      <c r="B13" s="383" t="str">
        <f>'Розшифровка кап'!A11</f>
        <v>рецепція (1 шт.-2021р.)</v>
      </c>
      <c r="C13" s="155"/>
      <c r="D13" s="155"/>
      <c r="E13" s="155"/>
      <c r="F13" s="155"/>
      <c r="G13" s="155"/>
      <c r="H13" s="155"/>
      <c r="I13" s="155"/>
      <c r="J13" s="155"/>
      <c r="K13" s="156"/>
      <c r="L13" s="155"/>
      <c r="M13" s="155"/>
      <c r="N13" s="155"/>
      <c r="O13" s="155"/>
      <c r="P13" s="157"/>
      <c r="Q13" s="157"/>
      <c r="R13" s="157"/>
      <c r="S13" s="157"/>
      <c r="T13" s="155"/>
      <c r="U13" s="159">
        <v>7.9</v>
      </c>
      <c r="V13" s="161"/>
      <c r="W13" s="159"/>
      <c r="X13" s="160">
        <f t="shared" si="1"/>
        <v>7.9</v>
      </c>
      <c r="Y13" s="160">
        <f t="shared" ref="Y13" si="6">SUM(D13,J13,P13,V13)</f>
        <v>0</v>
      </c>
      <c r="Z13" s="160">
        <f t="shared" ref="Z13" si="7">SUM(H13,K13,T13,W13)</f>
        <v>0</v>
      </c>
      <c r="AA13" s="161">
        <f t="shared" ref="AA13" si="8">Z13-Y13</f>
        <v>0</v>
      </c>
      <c r="AB13" s="197" t="e">
        <f t="shared" si="4"/>
        <v>#DIV/0!</v>
      </c>
      <c r="AC13" s="162"/>
      <c r="AD13" s="162"/>
      <c r="AE13" s="162"/>
      <c r="AF13" s="153"/>
      <c r="AG13" s="153"/>
      <c r="AH13" s="163"/>
      <c r="AI13" s="163"/>
      <c r="AJ13" s="163"/>
      <c r="AK13" s="162"/>
      <c r="AL13" s="162"/>
      <c r="AM13" s="162"/>
      <c r="AN13" s="164"/>
    </row>
    <row r="14" spans="1:40" ht="30" customHeight="1">
      <c r="A14" s="166"/>
      <c r="B14" s="383" t="str">
        <f>'Розшифровка кап'!A12</f>
        <v xml:space="preserve">апарат УЗД (1 шт-2022р.) </v>
      </c>
      <c r="C14" s="155"/>
      <c r="D14" s="155"/>
      <c r="E14" s="155"/>
      <c r="F14" s="155"/>
      <c r="G14" s="155"/>
      <c r="H14" s="155"/>
      <c r="I14" s="155"/>
      <c r="J14" s="155"/>
      <c r="K14" s="156"/>
      <c r="L14" s="155"/>
      <c r="M14" s="155"/>
      <c r="N14" s="155"/>
      <c r="O14" s="155"/>
      <c r="P14" s="157"/>
      <c r="Q14" s="157"/>
      <c r="R14" s="157"/>
      <c r="S14" s="157"/>
      <c r="T14" s="155"/>
      <c r="U14" s="159"/>
      <c r="V14" s="161">
        <v>1250</v>
      </c>
      <c r="W14" s="159"/>
      <c r="X14" s="160">
        <f t="shared" si="1"/>
        <v>0</v>
      </c>
      <c r="Y14" s="160">
        <f t="shared" si="5"/>
        <v>1250</v>
      </c>
      <c r="Z14" s="160">
        <f t="shared" si="2"/>
        <v>0</v>
      </c>
      <c r="AA14" s="161">
        <f t="shared" si="3"/>
        <v>-1250</v>
      </c>
      <c r="AB14" s="12">
        <f t="shared" si="4"/>
        <v>0</v>
      </c>
      <c r="AC14" s="162"/>
      <c r="AD14" s="162"/>
      <c r="AE14" s="162"/>
      <c r="AF14" s="153"/>
      <c r="AG14" s="153"/>
      <c r="AH14" s="163"/>
      <c r="AI14" s="163"/>
      <c r="AJ14" s="163"/>
      <c r="AK14" s="162"/>
      <c r="AL14" s="162"/>
      <c r="AM14" s="162"/>
      <c r="AN14" s="164"/>
    </row>
    <row r="15" spans="1:40" ht="32.25" customHeight="1">
      <c r="A15" s="166"/>
      <c r="B15" s="383" t="str">
        <f>'Розшифровка кап'!A13</f>
        <v>біохімічний аналізатор "Фотометр"( 1шт-2021р.)</v>
      </c>
      <c r="C15" s="155"/>
      <c r="D15" s="155"/>
      <c r="E15" s="155"/>
      <c r="F15" s="155"/>
      <c r="G15" s="155"/>
      <c r="H15" s="155"/>
      <c r="I15" s="155"/>
      <c r="J15" s="155"/>
      <c r="K15" s="156"/>
      <c r="L15" s="155"/>
      <c r="M15" s="155"/>
      <c r="N15" s="155"/>
      <c r="O15" s="155"/>
      <c r="P15" s="157"/>
      <c r="Q15" s="157"/>
      <c r="R15" s="157"/>
      <c r="S15" s="157"/>
      <c r="T15" s="155"/>
      <c r="U15" s="159">
        <v>36.5</v>
      </c>
      <c r="V15" s="161"/>
      <c r="W15" s="159"/>
      <c r="X15" s="160">
        <f t="shared" ref="X15" si="9">SUM(C15,I15,O15,U15)</f>
        <v>36.5</v>
      </c>
      <c r="Y15" s="160">
        <f t="shared" ref="Y15" si="10">SUM(D15,J15,P15,V15)</f>
        <v>0</v>
      </c>
      <c r="Z15" s="160">
        <f t="shared" si="2"/>
        <v>0</v>
      </c>
      <c r="AA15" s="161">
        <f t="shared" si="3"/>
        <v>0</v>
      </c>
      <c r="AB15" s="12" t="e">
        <f t="shared" si="4"/>
        <v>#DIV/0!</v>
      </c>
      <c r="AC15" s="162"/>
      <c r="AD15" s="162"/>
      <c r="AE15" s="162"/>
      <c r="AF15" s="153"/>
      <c r="AG15" s="153"/>
      <c r="AH15" s="163"/>
      <c r="AI15" s="163"/>
      <c r="AJ15" s="163"/>
      <c r="AK15" s="162"/>
      <c r="AL15" s="162"/>
      <c r="AM15" s="162"/>
      <c r="AN15" s="164"/>
    </row>
    <row r="16" spans="1:40" ht="113.25" customHeight="1">
      <c r="A16" s="166"/>
      <c r="B16" s="383" t="str">
        <f>'Розшифровка кап'!A14</f>
        <v xml:space="preserve">ноутбук (4 шт.-2021р.), (5 шт.-2022р.) , ноутбук/Dell Latitude 3420 FHD i5 16G RAM, 512Go SSD, 4 cell battery, Fingerprint reader (1шт-2022р.),Ноутбук/Dell Latitude 3420 FHD i5 8G RAM, 512Go SSD, 4 cell battery, Fingerprint reader (1шт.-2022р.) </v>
      </c>
      <c r="C16" s="155"/>
      <c r="D16" s="155"/>
      <c r="E16" s="155"/>
      <c r="F16" s="155"/>
      <c r="G16" s="155"/>
      <c r="H16" s="155"/>
      <c r="I16" s="155"/>
      <c r="J16" s="155"/>
      <c r="K16" s="156"/>
      <c r="L16" s="155"/>
      <c r="M16" s="155"/>
      <c r="N16" s="155"/>
      <c r="O16" s="155">
        <v>23</v>
      </c>
      <c r="P16" s="157"/>
      <c r="Q16" s="157"/>
      <c r="R16" s="157"/>
      <c r="S16" s="157"/>
      <c r="T16" s="155">
        <v>45.7</v>
      </c>
      <c r="U16" s="159">
        <v>50.8</v>
      </c>
      <c r="V16" s="161">
        <v>125</v>
      </c>
      <c r="W16" s="159"/>
      <c r="X16" s="160">
        <f t="shared" ref="X16" si="11">SUM(C16,I16,O16,U16)</f>
        <v>73.8</v>
      </c>
      <c r="Y16" s="160">
        <f t="shared" si="1"/>
        <v>125</v>
      </c>
      <c r="Z16" s="160">
        <f t="shared" ref="Z16:Z24" si="12">SUM(H16,K16,T16,W16)</f>
        <v>45.7</v>
      </c>
      <c r="AA16" s="161">
        <f t="shared" ref="AA16:AA25" si="13">Z16-Y16</f>
        <v>-79.3</v>
      </c>
      <c r="AB16" s="197">
        <f t="shared" si="4"/>
        <v>36.56</v>
      </c>
      <c r="AC16" s="162"/>
      <c r="AD16" s="162"/>
      <c r="AE16" s="162"/>
      <c r="AF16" s="153"/>
      <c r="AG16" s="153"/>
      <c r="AH16" s="163"/>
      <c r="AI16" s="163"/>
      <c r="AJ16" s="163"/>
      <c r="AK16" s="162"/>
      <c r="AL16" s="162"/>
      <c r="AM16" s="162"/>
      <c r="AN16" s="164"/>
    </row>
    <row r="17" spans="1:40" ht="51" customHeight="1">
      <c r="A17" s="166"/>
      <c r="B17" s="383" t="str">
        <f>'Розшифровка кап'!A15</f>
        <v>теплолічильник СВТУ-11T RP DN 32 в комплекті (1шт.-2021р.)</v>
      </c>
      <c r="C17" s="155"/>
      <c r="D17" s="155"/>
      <c r="E17" s="155"/>
      <c r="F17" s="155"/>
      <c r="G17" s="155"/>
      <c r="H17" s="155"/>
      <c r="I17" s="155"/>
      <c r="J17" s="155"/>
      <c r="K17" s="156"/>
      <c r="L17" s="155"/>
      <c r="M17" s="155"/>
      <c r="N17" s="155"/>
      <c r="O17" s="155"/>
      <c r="P17" s="157"/>
      <c r="Q17" s="157"/>
      <c r="R17" s="157"/>
      <c r="S17" s="157"/>
      <c r="T17" s="155"/>
      <c r="U17" s="159">
        <v>32.799999999999997</v>
      </c>
      <c r="V17" s="161"/>
      <c r="W17" s="159"/>
      <c r="X17" s="160">
        <f t="shared" ref="X17:X24" si="14">SUM(C17,I17,O17,U17)</f>
        <v>32.799999999999997</v>
      </c>
      <c r="Y17" s="160">
        <f t="shared" ref="Y17" si="15">SUM(D17,J17,P17,V17)</f>
        <v>0</v>
      </c>
      <c r="Z17" s="160">
        <f t="shared" si="12"/>
        <v>0</v>
      </c>
      <c r="AA17" s="161">
        <f t="shared" si="13"/>
        <v>0</v>
      </c>
      <c r="AB17" s="12" t="e">
        <f>Z17/Y17*100</f>
        <v>#DIV/0!</v>
      </c>
      <c r="AC17" s="162"/>
      <c r="AD17" s="162"/>
      <c r="AE17" s="162"/>
      <c r="AF17" s="153"/>
      <c r="AG17" s="153"/>
      <c r="AH17" s="163"/>
      <c r="AI17" s="163"/>
      <c r="AJ17" s="163"/>
      <c r="AK17" s="162"/>
      <c r="AL17" s="162"/>
      <c r="AM17" s="162"/>
      <c r="AN17" s="164"/>
    </row>
    <row r="18" spans="1:40" ht="65.25" customHeight="1">
      <c r="A18" s="166"/>
      <c r="B18" s="383" t="str">
        <f>'Розшифровка кап'!A16</f>
        <v>холодильник INDESIT TIAA 14- 8418108010 (2шт.-2021р.), Холодильник з льодовим захистом Vestforst VLS 504A AC, (242л)  для зберігання вакцин</v>
      </c>
      <c r="C18" s="155"/>
      <c r="D18" s="155"/>
      <c r="E18" s="155"/>
      <c r="F18" s="155"/>
      <c r="G18" s="155"/>
      <c r="H18" s="155"/>
      <c r="I18" s="155"/>
      <c r="J18" s="155"/>
      <c r="K18" s="156"/>
      <c r="L18" s="155"/>
      <c r="M18" s="155"/>
      <c r="N18" s="155"/>
      <c r="O18" s="155"/>
      <c r="P18" s="157"/>
      <c r="Q18" s="157"/>
      <c r="R18" s="157"/>
      <c r="S18" s="157"/>
      <c r="T18" s="155">
        <v>126.3</v>
      </c>
      <c r="U18" s="159">
        <v>13</v>
      </c>
      <c r="V18" s="161"/>
      <c r="W18" s="159"/>
      <c r="X18" s="160">
        <f t="shared" si="14"/>
        <v>13</v>
      </c>
      <c r="Y18" s="160">
        <f t="shared" si="1"/>
        <v>0</v>
      </c>
      <c r="Z18" s="160">
        <f t="shared" si="12"/>
        <v>126.3</v>
      </c>
      <c r="AA18" s="161">
        <f t="shared" si="13"/>
        <v>126.3</v>
      </c>
      <c r="AB18" s="197" t="e">
        <f t="shared" si="4"/>
        <v>#DIV/0!</v>
      </c>
      <c r="AC18" s="162"/>
      <c r="AD18" s="162"/>
      <c r="AE18" s="162"/>
      <c r="AF18" s="153"/>
      <c r="AG18" s="153"/>
      <c r="AH18" s="163"/>
      <c r="AI18" s="163"/>
      <c r="AJ18" s="163"/>
      <c r="AK18" s="162"/>
      <c r="AL18" s="162"/>
      <c r="AM18" s="162"/>
      <c r="AN18" s="164"/>
    </row>
    <row r="19" spans="1:40" ht="35.25" customHeight="1">
      <c r="A19" s="166"/>
      <c r="B19" s="383" t="str">
        <f>'Розшифровка кап'!A17</f>
        <v>центрифуга ОПн-3.04 (2шт.-2021р.)</v>
      </c>
      <c r="C19" s="155"/>
      <c r="D19" s="155"/>
      <c r="E19" s="155"/>
      <c r="F19" s="155"/>
      <c r="G19" s="155"/>
      <c r="H19" s="155"/>
      <c r="I19" s="155"/>
      <c r="J19" s="155"/>
      <c r="K19" s="156"/>
      <c r="L19" s="155"/>
      <c r="M19" s="155"/>
      <c r="N19" s="155"/>
      <c r="O19" s="155"/>
      <c r="P19" s="157"/>
      <c r="Q19" s="157"/>
      <c r="R19" s="157"/>
      <c r="S19" s="157"/>
      <c r="T19" s="155"/>
      <c r="U19" s="159">
        <v>47.3</v>
      </c>
      <c r="V19" s="161"/>
      <c r="W19" s="159"/>
      <c r="X19" s="160">
        <f t="shared" si="14"/>
        <v>47.3</v>
      </c>
      <c r="Y19" s="160">
        <f t="shared" si="1"/>
        <v>0</v>
      </c>
      <c r="Z19" s="160">
        <f t="shared" si="12"/>
        <v>0</v>
      </c>
      <c r="AA19" s="161">
        <f t="shared" si="13"/>
        <v>0</v>
      </c>
      <c r="AB19" s="197" t="e">
        <f t="shared" si="4"/>
        <v>#DIV/0!</v>
      </c>
      <c r="AC19" s="162"/>
      <c r="AD19" s="162"/>
      <c r="AE19" s="162"/>
      <c r="AF19" s="153"/>
      <c r="AG19" s="153"/>
      <c r="AH19" s="163"/>
      <c r="AI19" s="163"/>
      <c r="AJ19" s="163"/>
      <c r="AK19" s="162"/>
      <c r="AL19" s="162"/>
      <c r="AM19" s="162"/>
      <c r="AN19" s="164"/>
    </row>
    <row r="20" spans="1:40" ht="30" customHeight="1">
      <c r="A20" s="166"/>
      <c r="B20" s="383" t="str">
        <f>'Розшифровка кап'!A18</f>
        <v>кондиціонер OLMO OSH-10LD7W (2шт.-2021р.)</v>
      </c>
      <c r="C20" s="155"/>
      <c r="D20" s="155"/>
      <c r="E20" s="155"/>
      <c r="F20" s="155"/>
      <c r="G20" s="155"/>
      <c r="H20" s="155"/>
      <c r="I20" s="155"/>
      <c r="J20" s="155"/>
      <c r="K20" s="156"/>
      <c r="L20" s="155"/>
      <c r="M20" s="155"/>
      <c r="N20" s="155"/>
      <c r="O20" s="155"/>
      <c r="P20" s="157"/>
      <c r="Q20" s="157"/>
      <c r="R20" s="157"/>
      <c r="S20" s="157"/>
      <c r="T20" s="155"/>
      <c r="U20" s="159">
        <v>16.899999999999999</v>
      </c>
      <c r="V20" s="161"/>
      <c r="W20" s="159"/>
      <c r="X20" s="160">
        <f t="shared" si="14"/>
        <v>16.899999999999999</v>
      </c>
      <c r="Y20" s="160">
        <f t="shared" si="1"/>
        <v>0</v>
      </c>
      <c r="Z20" s="160">
        <f t="shared" si="12"/>
        <v>0</v>
      </c>
      <c r="AA20" s="161">
        <f t="shared" si="13"/>
        <v>0</v>
      </c>
      <c r="AB20" s="197" t="e">
        <f t="shared" si="4"/>
        <v>#DIV/0!</v>
      </c>
      <c r="AC20" s="162"/>
      <c r="AD20" s="162"/>
      <c r="AE20" s="162"/>
      <c r="AF20" s="153"/>
      <c r="AG20" s="153"/>
      <c r="AH20" s="163"/>
      <c r="AI20" s="163"/>
      <c r="AJ20" s="163"/>
      <c r="AK20" s="162"/>
      <c r="AL20" s="162"/>
      <c r="AM20" s="162"/>
      <c r="AN20" s="164"/>
    </row>
    <row r="21" spans="1:40" ht="75" customHeight="1">
      <c r="A21" s="166"/>
      <c r="B21" s="383" t="str">
        <f>'Розшифровка кап'!A19</f>
        <v>холодильна камера( 1шт.-2021р.), морозильна камера для зберігання вакцини з акумуляторами холоду Vestfrost MF 314</v>
      </c>
      <c r="C21" s="155"/>
      <c r="D21" s="155"/>
      <c r="E21" s="155"/>
      <c r="F21" s="155"/>
      <c r="G21" s="155"/>
      <c r="H21" s="155"/>
      <c r="I21" s="155"/>
      <c r="J21" s="155"/>
      <c r="K21" s="156"/>
      <c r="L21" s="155"/>
      <c r="M21" s="155"/>
      <c r="N21" s="155"/>
      <c r="O21" s="155"/>
      <c r="P21" s="157"/>
      <c r="Q21" s="157"/>
      <c r="R21" s="157"/>
      <c r="S21" s="157"/>
      <c r="T21" s="155">
        <v>30.4</v>
      </c>
      <c r="U21" s="159">
        <v>17.2</v>
      </c>
      <c r="V21" s="161"/>
      <c r="W21" s="159"/>
      <c r="X21" s="160">
        <f t="shared" si="14"/>
        <v>17.2</v>
      </c>
      <c r="Y21" s="160">
        <f t="shared" si="1"/>
        <v>0</v>
      </c>
      <c r="Z21" s="160">
        <f t="shared" si="12"/>
        <v>30.4</v>
      </c>
      <c r="AA21" s="161">
        <f t="shared" si="13"/>
        <v>30.4</v>
      </c>
      <c r="AB21" s="197" t="e">
        <f t="shared" si="4"/>
        <v>#DIV/0!</v>
      </c>
      <c r="AC21" s="162"/>
      <c r="AD21" s="162"/>
      <c r="AE21" s="162"/>
      <c r="AF21" s="153"/>
      <c r="AG21" s="153"/>
      <c r="AH21" s="163"/>
      <c r="AI21" s="163"/>
      <c r="AJ21" s="163"/>
      <c r="AK21" s="162"/>
      <c r="AL21" s="162"/>
      <c r="AM21" s="162"/>
      <c r="AN21" s="164"/>
    </row>
    <row r="22" spans="1:40" ht="76.5" customHeight="1">
      <c r="A22" s="166"/>
      <c r="B22" s="383" t="str">
        <f>'Розшифровка кап'!A20</f>
        <v>автоматичний зовнішній дефібрилятор  AED 7000 (1шт.-2021р.), (3 шт.-2022р.) дефібрилятор Saver One (1 шт-2022р.)</v>
      </c>
      <c r="C22" s="155"/>
      <c r="D22" s="155"/>
      <c r="E22" s="155"/>
      <c r="F22" s="155"/>
      <c r="G22" s="155"/>
      <c r="H22" s="155"/>
      <c r="I22" s="155"/>
      <c r="J22" s="155">
        <v>200</v>
      </c>
      <c r="K22" s="156"/>
      <c r="L22" s="155"/>
      <c r="M22" s="155"/>
      <c r="N22" s="155"/>
      <c r="O22" s="155"/>
      <c r="P22" s="157"/>
      <c r="Q22" s="157"/>
      <c r="R22" s="157"/>
      <c r="S22" s="157"/>
      <c r="T22" s="155"/>
      <c r="U22" s="159">
        <v>50</v>
      </c>
      <c r="V22" s="161"/>
      <c r="W22" s="159">
        <v>99.5</v>
      </c>
      <c r="X22" s="160">
        <f t="shared" si="14"/>
        <v>50</v>
      </c>
      <c r="Y22" s="160">
        <f t="shared" si="1"/>
        <v>200</v>
      </c>
      <c r="Z22" s="160">
        <f t="shared" si="12"/>
        <v>99.5</v>
      </c>
      <c r="AA22" s="161">
        <f t="shared" si="13"/>
        <v>-100.5</v>
      </c>
      <c r="AB22" s="197">
        <f t="shared" si="4"/>
        <v>49.75</v>
      </c>
      <c r="AC22" s="162"/>
      <c r="AD22" s="162"/>
      <c r="AE22" s="162"/>
      <c r="AF22" s="153"/>
      <c r="AG22" s="153"/>
      <c r="AH22" s="163"/>
      <c r="AI22" s="163"/>
      <c r="AJ22" s="163"/>
      <c r="AK22" s="162"/>
      <c r="AL22" s="162"/>
      <c r="AM22" s="162"/>
      <c r="AN22" s="164"/>
    </row>
    <row r="23" spans="1:40" ht="31.5" customHeight="1">
      <c r="A23" s="166"/>
      <c r="B23" s="383" t="str">
        <f>'Розшифровка кап'!A21</f>
        <v>котел електричний 6 кВт (1шт.-2021р.)</v>
      </c>
      <c r="C23" s="155"/>
      <c r="D23" s="155"/>
      <c r="E23" s="155"/>
      <c r="F23" s="155"/>
      <c r="G23" s="155"/>
      <c r="H23" s="155"/>
      <c r="I23" s="155"/>
      <c r="J23" s="155"/>
      <c r="K23" s="156"/>
      <c r="L23" s="155"/>
      <c r="M23" s="155"/>
      <c r="N23" s="155"/>
      <c r="O23" s="155">
        <v>8.5</v>
      </c>
      <c r="P23" s="157"/>
      <c r="Q23" s="157"/>
      <c r="R23" s="157"/>
      <c r="S23" s="157"/>
      <c r="T23" s="155"/>
      <c r="U23" s="159"/>
      <c r="V23" s="161"/>
      <c r="W23" s="159"/>
      <c r="X23" s="160">
        <f>SUM(C23,I23,O23,U23)</f>
        <v>8.5</v>
      </c>
      <c r="Y23" s="160">
        <f t="shared" si="1"/>
        <v>0</v>
      </c>
      <c r="Z23" s="160">
        <f t="shared" si="12"/>
        <v>0</v>
      </c>
      <c r="AA23" s="161">
        <f t="shared" si="13"/>
        <v>0</v>
      </c>
      <c r="AB23" s="12" t="e">
        <f t="shared" si="4"/>
        <v>#DIV/0!</v>
      </c>
      <c r="AC23" s="162"/>
      <c r="AD23" s="162"/>
      <c r="AE23" s="162"/>
      <c r="AF23" s="153"/>
      <c r="AG23" s="153"/>
      <c r="AH23" s="163"/>
      <c r="AI23" s="163"/>
      <c r="AJ23" s="163"/>
      <c r="AK23" s="162"/>
      <c r="AL23" s="162"/>
      <c r="AM23" s="162"/>
      <c r="AN23" s="164"/>
    </row>
    <row r="24" spans="1:40" ht="72" customHeight="1">
      <c r="A24" s="166"/>
      <c r="B24" s="383" t="str">
        <f>'Розшифровка кап'!A22</f>
        <v>WM 31620-1111 prisma SMART, APAP, Терапевтичний комплект, тип WM 090 TD, зі зволожувачем prismaAQUA, (1шт-2022р.)</v>
      </c>
      <c r="C24" s="155"/>
      <c r="D24" s="155"/>
      <c r="E24" s="155"/>
      <c r="F24" s="155"/>
      <c r="G24" s="155"/>
      <c r="H24" s="155"/>
      <c r="I24" s="155"/>
      <c r="J24" s="155"/>
      <c r="K24" s="156"/>
      <c r="L24" s="155"/>
      <c r="M24" s="155"/>
      <c r="N24" s="155"/>
      <c r="O24" s="155"/>
      <c r="P24" s="157"/>
      <c r="Q24" s="157"/>
      <c r="R24" s="157"/>
      <c r="S24" s="157"/>
      <c r="T24" s="155"/>
      <c r="U24" s="159"/>
      <c r="V24" s="161"/>
      <c r="W24" s="159">
        <v>69.7</v>
      </c>
      <c r="X24" s="160">
        <f t="shared" si="14"/>
        <v>0</v>
      </c>
      <c r="Y24" s="160">
        <f t="shared" si="1"/>
        <v>0</v>
      </c>
      <c r="Z24" s="160">
        <f t="shared" si="12"/>
        <v>69.7</v>
      </c>
      <c r="AA24" s="161">
        <f t="shared" si="13"/>
        <v>69.7</v>
      </c>
      <c r="AB24" s="197" t="e">
        <f t="shared" si="4"/>
        <v>#DIV/0!</v>
      </c>
      <c r="AC24" s="162"/>
      <c r="AD24" s="162"/>
      <c r="AE24" s="162"/>
      <c r="AF24" s="153"/>
      <c r="AG24" s="153"/>
      <c r="AH24" s="163"/>
      <c r="AI24" s="163"/>
      <c r="AJ24" s="163"/>
      <c r="AK24" s="162"/>
      <c r="AL24" s="162"/>
      <c r="AM24" s="162"/>
      <c r="AN24" s="164"/>
    </row>
    <row r="25" spans="1:40" ht="30" customHeight="1">
      <c r="A25" s="166"/>
      <c r="B25" s="383" t="str">
        <f>'Розшифровка кап'!A23</f>
        <v>Насос шприцевий ."Біомед" М200А (1шт-2022р.)</v>
      </c>
      <c r="C25" s="155"/>
      <c r="D25" s="155"/>
      <c r="E25" s="155"/>
      <c r="F25" s="155"/>
      <c r="G25" s="155"/>
      <c r="H25" s="155"/>
      <c r="I25" s="155"/>
      <c r="J25" s="155"/>
      <c r="K25" s="156"/>
      <c r="L25" s="155"/>
      <c r="M25" s="155"/>
      <c r="N25" s="155"/>
      <c r="O25" s="155"/>
      <c r="P25" s="157"/>
      <c r="Q25" s="157"/>
      <c r="R25" s="157"/>
      <c r="S25" s="157"/>
      <c r="T25" s="155"/>
      <c r="U25" s="159"/>
      <c r="V25" s="161"/>
      <c r="W25" s="159">
        <v>20.8</v>
      </c>
      <c r="X25" s="160">
        <f>SUM(C25,I25,O25,U25)</f>
        <v>0</v>
      </c>
      <c r="Y25" s="160">
        <f t="shared" si="1"/>
        <v>0</v>
      </c>
      <c r="Z25" s="160">
        <f>SUM(H25,K25,T25,W25)</f>
        <v>20.8</v>
      </c>
      <c r="AA25" s="161">
        <f t="shared" si="13"/>
        <v>20.8</v>
      </c>
      <c r="AB25" s="197" t="e">
        <f t="shared" si="4"/>
        <v>#DIV/0!</v>
      </c>
      <c r="AC25" s="162"/>
      <c r="AD25" s="162"/>
      <c r="AE25" s="162"/>
      <c r="AF25" s="153"/>
      <c r="AG25" s="153"/>
      <c r="AH25" s="163"/>
      <c r="AI25" s="163"/>
      <c r="AJ25" s="163"/>
      <c r="AK25" s="162"/>
      <c r="AL25" s="162"/>
      <c r="AM25" s="162"/>
      <c r="AN25" s="164"/>
    </row>
    <row r="26" spans="1:40" ht="43.5" customHeight="1">
      <c r="A26" s="166"/>
      <c r="B26" s="383" t="str">
        <f>'Розшифровка кап'!A24</f>
        <v>Аналізатор сечі CITOLAB READER 300 (1шт-2022р.)</v>
      </c>
      <c r="C26" s="155"/>
      <c r="D26" s="155"/>
      <c r="E26" s="155"/>
      <c r="F26" s="155"/>
      <c r="G26" s="155"/>
      <c r="H26" s="155"/>
      <c r="I26" s="155"/>
      <c r="J26" s="155"/>
      <c r="K26" s="156"/>
      <c r="L26" s="155"/>
      <c r="M26" s="155"/>
      <c r="N26" s="155"/>
      <c r="O26" s="155"/>
      <c r="P26" s="157"/>
      <c r="Q26" s="157"/>
      <c r="R26" s="157"/>
      <c r="S26" s="157"/>
      <c r="T26" s="155">
        <v>31.5</v>
      </c>
      <c r="U26" s="159"/>
      <c r="V26" s="161"/>
      <c r="W26" s="159"/>
      <c r="X26" s="160">
        <f t="shared" ref="X26:X28" si="16">SUM(C26,I26,O26,U26)</f>
        <v>0</v>
      </c>
      <c r="Y26" s="160">
        <f t="shared" ref="Y26:Y28" si="17">SUM(D26,J26,P26,V26)</f>
        <v>0</v>
      </c>
      <c r="Z26" s="160">
        <f t="shared" ref="Z26:Z28" si="18">SUM(H26,K26,T26,W26)</f>
        <v>31.5</v>
      </c>
      <c r="AA26" s="161">
        <f t="shared" ref="AA26:AA28" si="19">Z26-Y26</f>
        <v>31.5</v>
      </c>
      <c r="AB26" s="197" t="e">
        <f t="shared" ref="AB26:AB28" si="20">Z26/Y26*100</f>
        <v>#DIV/0!</v>
      </c>
      <c r="AC26" s="162"/>
      <c r="AD26" s="162"/>
      <c r="AE26" s="162"/>
      <c r="AF26" s="153"/>
      <c r="AG26" s="153"/>
      <c r="AH26" s="163"/>
      <c r="AI26" s="163"/>
      <c r="AJ26" s="163"/>
      <c r="AK26" s="162"/>
      <c r="AL26" s="162"/>
      <c r="AM26" s="162"/>
      <c r="AN26" s="164"/>
    </row>
    <row r="27" spans="1:40" ht="43.5" customHeight="1">
      <c r="A27" s="166"/>
      <c r="B27" s="383" t="str">
        <f>'Розшифровка кап'!A25</f>
        <v>Мініелектростанція NIK DG500E (генератор)</v>
      </c>
      <c r="C27" s="155"/>
      <c r="D27" s="155"/>
      <c r="E27" s="155"/>
      <c r="F27" s="155"/>
      <c r="G27" s="155"/>
      <c r="H27" s="155"/>
      <c r="I27" s="155"/>
      <c r="J27" s="155"/>
      <c r="K27" s="156"/>
      <c r="L27" s="155"/>
      <c r="M27" s="155"/>
      <c r="N27" s="155"/>
      <c r="O27" s="155"/>
      <c r="P27" s="157"/>
      <c r="Q27" s="157"/>
      <c r="R27" s="157"/>
      <c r="S27" s="157"/>
      <c r="T27" s="155"/>
      <c r="U27" s="159"/>
      <c r="V27" s="161"/>
      <c r="W27" s="159">
        <v>70</v>
      </c>
      <c r="X27" s="160">
        <f t="shared" si="16"/>
        <v>0</v>
      </c>
      <c r="Y27" s="160">
        <f t="shared" si="17"/>
        <v>0</v>
      </c>
      <c r="Z27" s="160">
        <f t="shared" si="18"/>
        <v>70</v>
      </c>
      <c r="AA27" s="161">
        <f t="shared" si="19"/>
        <v>70</v>
      </c>
      <c r="AB27" s="197" t="e">
        <f t="shared" si="20"/>
        <v>#DIV/0!</v>
      </c>
      <c r="AC27" s="162"/>
      <c r="AD27" s="162"/>
      <c r="AE27" s="162"/>
      <c r="AF27" s="153"/>
      <c r="AG27" s="153"/>
      <c r="AH27" s="163"/>
      <c r="AI27" s="163"/>
      <c r="AJ27" s="163"/>
      <c r="AK27" s="162"/>
      <c r="AL27" s="162"/>
      <c r="AM27" s="162"/>
      <c r="AN27" s="164"/>
    </row>
    <row r="28" spans="1:40" ht="43.5" customHeight="1">
      <c r="A28" s="166"/>
      <c r="B28" s="383" t="str">
        <f>'Розшифровка кап'!A26</f>
        <v>Циркуляційний фланцевий насос з ізоляцією</v>
      </c>
      <c r="C28" s="155"/>
      <c r="D28" s="155"/>
      <c r="E28" s="155"/>
      <c r="F28" s="155"/>
      <c r="G28" s="155"/>
      <c r="H28" s="155"/>
      <c r="I28" s="155"/>
      <c r="J28" s="155"/>
      <c r="K28" s="156"/>
      <c r="L28" s="155"/>
      <c r="M28" s="155"/>
      <c r="N28" s="155"/>
      <c r="O28" s="155"/>
      <c r="P28" s="157"/>
      <c r="Q28" s="157"/>
      <c r="R28" s="157"/>
      <c r="S28" s="157"/>
      <c r="T28" s="155"/>
      <c r="U28" s="159"/>
      <c r="V28" s="161"/>
      <c r="W28" s="159">
        <v>38.4</v>
      </c>
      <c r="X28" s="160">
        <f t="shared" si="16"/>
        <v>0</v>
      </c>
      <c r="Y28" s="160">
        <f t="shared" si="17"/>
        <v>0</v>
      </c>
      <c r="Z28" s="160">
        <f t="shared" si="18"/>
        <v>38.4</v>
      </c>
      <c r="AA28" s="161">
        <f t="shared" si="19"/>
        <v>38.4</v>
      </c>
      <c r="AB28" s="197" t="e">
        <f t="shared" si="20"/>
        <v>#DIV/0!</v>
      </c>
      <c r="AC28" s="162"/>
      <c r="AD28" s="162"/>
      <c r="AE28" s="162"/>
      <c r="AF28" s="153"/>
      <c r="AG28" s="153"/>
      <c r="AH28" s="163"/>
      <c r="AI28" s="163"/>
      <c r="AJ28" s="163"/>
      <c r="AK28" s="162"/>
      <c r="AL28" s="162"/>
      <c r="AM28" s="162"/>
      <c r="AN28" s="164"/>
    </row>
    <row r="29" spans="1:40" ht="43.5" customHeight="1">
      <c r="A29" s="166"/>
      <c r="B29" s="383" t="str">
        <f>'Розшифровка кап'!A27</f>
        <v>Кисневий концертратор (Концентратор кисню АЕ-8-W)</v>
      </c>
      <c r="C29" s="155"/>
      <c r="D29" s="155"/>
      <c r="E29" s="155"/>
      <c r="F29" s="155"/>
      <c r="G29" s="155"/>
      <c r="H29" s="155"/>
      <c r="I29" s="155"/>
      <c r="J29" s="155"/>
      <c r="K29" s="156"/>
      <c r="L29" s="155"/>
      <c r="M29" s="155"/>
      <c r="N29" s="155"/>
      <c r="O29" s="155"/>
      <c r="P29" s="157"/>
      <c r="Q29" s="157"/>
      <c r="R29" s="157"/>
      <c r="S29" s="157"/>
      <c r="T29" s="155">
        <v>1691.2</v>
      </c>
      <c r="U29" s="159"/>
      <c r="V29" s="161"/>
      <c r="W29" s="159"/>
      <c r="X29" s="160">
        <f t="shared" ref="X29" si="21">SUM(C29,I29,O29,U29)</f>
        <v>0</v>
      </c>
      <c r="Y29" s="160">
        <f t="shared" ref="Y29" si="22">SUM(D29,J29,P29,V29)</f>
        <v>0</v>
      </c>
      <c r="Z29" s="160">
        <f t="shared" ref="Z29" si="23">SUM(H29,K29,T29,W29)</f>
        <v>1691.2</v>
      </c>
      <c r="AA29" s="161">
        <f t="shared" ref="AA29" si="24">Z29-Y29</f>
        <v>1691.2</v>
      </c>
      <c r="AB29" s="197" t="e">
        <f t="shared" ref="AB29" si="25">Z29/Y29*100</f>
        <v>#DIV/0!</v>
      </c>
      <c r="AC29" s="162"/>
      <c r="AD29" s="162"/>
      <c r="AE29" s="162"/>
      <c r="AF29" s="153"/>
      <c r="AG29" s="153"/>
      <c r="AH29" s="163"/>
      <c r="AI29" s="163"/>
      <c r="AJ29" s="163"/>
      <c r="AK29" s="162"/>
      <c r="AL29" s="162"/>
      <c r="AM29" s="162"/>
      <c r="AN29" s="164"/>
    </row>
    <row r="30" spans="1:40" ht="54.75" customHeight="1">
      <c r="A30" s="166">
        <v>2</v>
      </c>
      <c r="B30" s="384" t="s">
        <v>134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>
        <v>0.1</v>
      </c>
      <c r="P30" s="73"/>
      <c r="Q30" s="73"/>
      <c r="R30" s="73"/>
      <c r="S30" s="73"/>
      <c r="T30" s="73">
        <v>23</v>
      </c>
      <c r="U30" s="73">
        <v>280.5</v>
      </c>
      <c r="V30" s="74">
        <v>1230</v>
      </c>
      <c r="W30" s="74">
        <v>198.7</v>
      </c>
      <c r="X30" s="151">
        <f t="shared" si="1"/>
        <v>280.60000000000002</v>
      </c>
      <c r="Y30" s="151">
        <f t="shared" si="1"/>
        <v>1230</v>
      </c>
      <c r="Z30" s="151">
        <f t="shared" si="2"/>
        <v>221.7</v>
      </c>
      <c r="AA30" s="74">
        <f t="shared" si="3"/>
        <v>-1008.3</v>
      </c>
      <c r="AB30" s="10">
        <f t="shared" ref="AB30" si="26">Z30/Y30*100</f>
        <v>18.024390243902438</v>
      </c>
      <c r="AC30" s="152"/>
      <c r="AD30" s="152"/>
      <c r="AE30" s="152"/>
      <c r="AF30" s="153"/>
      <c r="AG30" s="153"/>
      <c r="AH30" s="154"/>
      <c r="AI30" s="154"/>
      <c r="AJ30" s="154"/>
      <c r="AK30" s="154"/>
      <c r="AL30" s="154"/>
      <c r="AM30" s="154"/>
      <c r="AN30" s="152"/>
    </row>
    <row r="31" spans="1:40" ht="46.5" customHeight="1">
      <c r="A31" s="166">
        <v>3</v>
      </c>
      <c r="B31" s="384" t="s">
        <v>135</v>
      </c>
      <c r="C31" s="155">
        <f>SUM(C32:C33)</f>
        <v>0</v>
      </c>
      <c r="D31" s="155">
        <f t="shared" ref="D31:T31" si="27">SUM(D32:D33)</f>
        <v>0</v>
      </c>
      <c r="E31" s="155">
        <f t="shared" si="27"/>
        <v>0</v>
      </c>
      <c r="F31" s="155">
        <f t="shared" si="27"/>
        <v>0</v>
      </c>
      <c r="G31" s="155">
        <f t="shared" si="27"/>
        <v>0</v>
      </c>
      <c r="H31" s="155">
        <f t="shared" si="27"/>
        <v>0</v>
      </c>
      <c r="I31" s="155">
        <f t="shared" si="27"/>
        <v>0</v>
      </c>
      <c r="J31" s="155">
        <f t="shared" si="27"/>
        <v>0</v>
      </c>
      <c r="K31" s="155">
        <f t="shared" si="27"/>
        <v>0</v>
      </c>
      <c r="L31" s="155">
        <f t="shared" si="27"/>
        <v>0</v>
      </c>
      <c r="M31" s="155">
        <f t="shared" si="27"/>
        <v>0</v>
      </c>
      <c r="N31" s="155">
        <f t="shared" si="27"/>
        <v>0</v>
      </c>
      <c r="O31" s="155">
        <f t="shared" si="27"/>
        <v>0</v>
      </c>
      <c r="P31" s="155">
        <f t="shared" si="27"/>
        <v>0</v>
      </c>
      <c r="Q31" s="155">
        <f t="shared" si="27"/>
        <v>0</v>
      </c>
      <c r="R31" s="155">
        <f t="shared" si="27"/>
        <v>0</v>
      </c>
      <c r="S31" s="155">
        <f t="shared" si="27"/>
        <v>0</v>
      </c>
      <c r="T31" s="155">
        <f t="shared" si="27"/>
        <v>0</v>
      </c>
      <c r="U31" s="73">
        <f>SUM(U32:U33)</f>
        <v>28</v>
      </c>
      <c r="V31" s="73">
        <f>SUM(V32:V33)</f>
        <v>395</v>
      </c>
      <c r="W31" s="73"/>
      <c r="X31" s="151">
        <f t="shared" ref="X31:X32" si="28">SUM(C31,I31,O31,U31)</f>
        <v>28</v>
      </c>
      <c r="Y31" s="151">
        <f t="shared" si="1"/>
        <v>395</v>
      </c>
      <c r="Z31" s="151">
        <f>SUM(E31,K31,Q31,W31)</f>
        <v>0</v>
      </c>
      <c r="AA31" s="74">
        <f t="shared" ref="AA31:AA37" si="29">Z31-Y31</f>
        <v>-395</v>
      </c>
      <c r="AB31" s="74">
        <f>Z31/Y31*100</f>
        <v>0</v>
      </c>
      <c r="AC31" s="152"/>
      <c r="AD31" s="152"/>
      <c r="AE31" s="152"/>
      <c r="AF31" s="153"/>
      <c r="AG31" s="153"/>
      <c r="AH31" s="152"/>
      <c r="AI31" s="152"/>
      <c r="AJ31" s="152"/>
      <c r="AK31" s="152"/>
      <c r="AL31" s="152"/>
      <c r="AM31" s="152"/>
      <c r="AN31" s="152"/>
    </row>
    <row r="32" spans="1:40" ht="67.5" customHeight="1">
      <c r="A32" s="146"/>
      <c r="B32" s="383" t="str">
        <f>'Розшифровка кап'!A31</f>
        <v>програмне забезпечення МІС « Доктор Елекс» із супроводом (30шт-І півріччя 2020р.), (20 шт.-І півріччя 2021р.)</v>
      </c>
      <c r="C32" s="155"/>
      <c r="D32" s="155"/>
      <c r="E32" s="155"/>
      <c r="F32" s="155"/>
      <c r="G32" s="155"/>
      <c r="H32" s="155"/>
      <c r="I32" s="155"/>
      <c r="J32" s="155"/>
      <c r="K32" s="156"/>
      <c r="L32" s="155"/>
      <c r="M32" s="155"/>
      <c r="N32" s="155"/>
      <c r="O32" s="155"/>
      <c r="P32" s="157"/>
      <c r="Q32" s="157"/>
      <c r="R32" s="157"/>
      <c r="S32" s="157"/>
      <c r="T32" s="155"/>
      <c r="U32" s="155">
        <v>28</v>
      </c>
      <c r="V32" s="161">
        <v>105</v>
      </c>
      <c r="W32" s="159"/>
      <c r="X32" s="160">
        <f t="shared" si="28"/>
        <v>28</v>
      </c>
      <c r="Y32" s="160">
        <f t="shared" ref="Y32" si="30">SUM(D32,J32,P32,V32)</f>
        <v>105</v>
      </c>
      <c r="Z32" s="160">
        <f t="shared" ref="Z32" si="31">SUM(H32,K32,T32,W32)</f>
        <v>0</v>
      </c>
      <c r="AA32" s="161">
        <f t="shared" si="29"/>
        <v>-105</v>
      </c>
      <c r="AB32" s="12">
        <f t="shared" ref="AB32" si="32">Z32/Y32*100</f>
        <v>0</v>
      </c>
      <c r="AC32" s="162"/>
      <c r="AD32" s="162"/>
      <c r="AE32" s="162"/>
      <c r="AF32" s="153"/>
      <c r="AG32" s="153"/>
      <c r="AH32" s="163"/>
      <c r="AI32" s="163"/>
      <c r="AJ32" s="163"/>
      <c r="AK32" s="162"/>
      <c r="AL32" s="162"/>
      <c r="AM32" s="162"/>
      <c r="AN32" s="165"/>
    </row>
    <row r="33" spans="1:40" ht="73.5" customHeight="1">
      <c r="A33" s="146"/>
      <c r="B33" s="383" t="s">
        <v>316</v>
      </c>
      <c r="C33" s="155"/>
      <c r="D33" s="155"/>
      <c r="E33" s="155"/>
      <c r="F33" s="155"/>
      <c r="G33" s="155"/>
      <c r="H33" s="155"/>
      <c r="I33" s="155"/>
      <c r="J33" s="155"/>
      <c r="K33" s="156"/>
      <c r="L33" s="155"/>
      <c r="M33" s="155"/>
      <c r="N33" s="155"/>
      <c r="O33" s="155"/>
      <c r="P33" s="157"/>
      <c r="Q33" s="157"/>
      <c r="R33" s="157"/>
      <c r="S33" s="157"/>
      <c r="T33" s="155"/>
      <c r="U33" s="155"/>
      <c r="V33" s="161">
        <v>290</v>
      </c>
      <c r="W33" s="159"/>
      <c r="X33" s="160"/>
      <c r="Y33" s="160"/>
      <c r="Z33" s="160"/>
      <c r="AA33" s="161"/>
      <c r="AB33" s="12"/>
      <c r="AC33" s="162"/>
      <c r="AD33" s="162"/>
      <c r="AE33" s="162"/>
      <c r="AF33" s="153"/>
      <c r="AG33" s="153"/>
      <c r="AH33" s="163"/>
      <c r="AI33" s="163"/>
      <c r="AJ33" s="163"/>
      <c r="AK33" s="162"/>
      <c r="AL33" s="162"/>
      <c r="AM33" s="162"/>
      <c r="AN33" s="152"/>
    </row>
    <row r="34" spans="1:40" ht="42" customHeight="1">
      <c r="A34" s="166">
        <v>4</v>
      </c>
      <c r="B34" s="384" t="s">
        <v>350</v>
      </c>
      <c r="C34" s="155"/>
      <c r="D34" s="155"/>
      <c r="E34" s="155"/>
      <c r="F34" s="155"/>
      <c r="G34" s="155"/>
      <c r="H34" s="155"/>
      <c r="I34" s="155"/>
      <c r="J34" s="155"/>
      <c r="K34" s="156"/>
      <c r="L34" s="155"/>
      <c r="M34" s="155"/>
      <c r="N34" s="155"/>
      <c r="O34" s="155"/>
      <c r="P34" s="157"/>
      <c r="Q34" s="157"/>
      <c r="R34" s="157"/>
      <c r="S34" s="157"/>
      <c r="T34" s="155"/>
      <c r="U34" s="155"/>
      <c r="V34" s="74">
        <f>V35+V36</f>
        <v>2700</v>
      </c>
      <c r="W34" s="74">
        <f>W35+W36</f>
        <v>2301.3000000000002</v>
      </c>
      <c r="X34" s="160"/>
      <c r="Y34" s="74">
        <f>Y35+Y36</f>
        <v>2700</v>
      </c>
      <c r="Z34" s="151">
        <f>SUM(E34,K34,Q34,W34)</f>
        <v>2301.3000000000002</v>
      </c>
      <c r="AA34" s="74">
        <f t="shared" ref="AA34" si="33">Z34-Y34</f>
        <v>-398.69999999999982</v>
      </c>
      <c r="AB34" s="12">
        <f t="shared" ref="AB34" si="34">Z34/Y34*100</f>
        <v>85.233333333333334</v>
      </c>
      <c r="AC34" s="162"/>
      <c r="AD34" s="162"/>
      <c r="AE34" s="162"/>
      <c r="AF34" s="153"/>
      <c r="AG34" s="153"/>
      <c r="AH34" s="163"/>
      <c r="AI34" s="163"/>
      <c r="AJ34" s="163"/>
      <c r="AK34" s="162"/>
      <c r="AL34" s="162"/>
      <c r="AM34" s="162"/>
      <c r="AN34" s="152"/>
    </row>
    <row r="35" spans="1:40" ht="43.5" customHeight="1">
      <c r="A35" s="166"/>
      <c r="B35" s="388" t="s">
        <v>354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73"/>
      <c r="V35" s="104">
        <v>1400</v>
      </c>
      <c r="W35" s="155">
        <v>2301.3000000000002</v>
      </c>
      <c r="X35" s="151"/>
      <c r="Y35" s="104">
        <v>1400</v>
      </c>
      <c r="Z35" s="151">
        <f t="shared" ref="Z35:Z36" si="35">SUM(E35,K35,Q35,W35)</f>
        <v>2301.3000000000002</v>
      </c>
      <c r="AA35" s="74">
        <f t="shared" ref="AA35:AA36" si="36">Z35-Y35</f>
        <v>901.30000000000018</v>
      </c>
      <c r="AB35" s="12">
        <f t="shared" ref="AB35:AB36" si="37">Z35/Y35*100</f>
        <v>164.37857142857143</v>
      </c>
      <c r="AC35" s="162"/>
      <c r="AD35" s="162"/>
      <c r="AE35" s="162"/>
      <c r="AF35" s="153"/>
      <c r="AG35" s="153"/>
      <c r="AH35" s="163"/>
      <c r="AI35" s="163"/>
      <c r="AJ35" s="163"/>
      <c r="AK35" s="162"/>
      <c r="AL35" s="162"/>
      <c r="AM35" s="162"/>
      <c r="AN35" s="152"/>
    </row>
    <row r="36" spans="1:40" ht="43.5" customHeight="1">
      <c r="A36" s="146"/>
      <c r="B36" s="383" t="s">
        <v>355</v>
      </c>
      <c r="C36" s="155"/>
      <c r="D36" s="155"/>
      <c r="E36" s="155"/>
      <c r="F36" s="155"/>
      <c r="G36" s="155"/>
      <c r="H36" s="155"/>
      <c r="I36" s="155"/>
      <c r="J36" s="155"/>
      <c r="K36" s="156"/>
      <c r="L36" s="155"/>
      <c r="M36" s="155"/>
      <c r="N36" s="155"/>
      <c r="O36" s="155"/>
      <c r="P36" s="157"/>
      <c r="Q36" s="157"/>
      <c r="R36" s="157"/>
      <c r="S36" s="157"/>
      <c r="T36" s="155"/>
      <c r="U36" s="155"/>
      <c r="V36" s="104">
        <v>1300</v>
      </c>
      <c r="W36" s="159"/>
      <c r="X36" s="160"/>
      <c r="Y36" s="104">
        <v>1300</v>
      </c>
      <c r="Z36" s="151">
        <f t="shared" si="35"/>
        <v>0</v>
      </c>
      <c r="AA36" s="74">
        <f t="shared" si="36"/>
        <v>-1300</v>
      </c>
      <c r="AB36" s="12">
        <f t="shared" si="37"/>
        <v>0</v>
      </c>
      <c r="AC36" s="162"/>
      <c r="AD36" s="162"/>
      <c r="AE36" s="162"/>
      <c r="AF36" s="153"/>
      <c r="AG36" s="153"/>
      <c r="AH36" s="163"/>
      <c r="AI36" s="163"/>
      <c r="AJ36" s="163"/>
      <c r="AK36" s="162"/>
      <c r="AL36" s="162"/>
      <c r="AM36" s="162"/>
      <c r="AN36" s="152"/>
    </row>
    <row r="37" spans="1:40" ht="40.5" customHeight="1">
      <c r="A37" s="527" t="s">
        <v>11</v>
      </c>
      <c r="B37" s="528"/>
      <c r="C37" s="167">
        <f t="shared" ref="C37:S37" si="38">SUM(C8,C30,C31)</f>
        <v>0</v>
      </c>
      <c r="D37" s="74">
        <f t="shared" si="38"/>
        <v>0</v>
      </c>
      <c r="E37" s="74">
        <f t="shared" si="38"/>
        <v>0</v>
      </c>
      <c r="F37" s="74">
        <f t="shared" si="38"/>
        <v>0</v>
      </c>
      <c r="G37" s="74">
        <f t="shared" si="38"/>
        <v>0</v>
      </c>
      <c r="H37" s="74">
        <f t="shared" si="38"/>
        <v>0</v>
      </c>
      <c r="I37" s="74">
        <f t="shared" si="38"/>
        <v>0</v>
      </c>
      <c r="J37" s="74">
        <f t="shared" si="38"/>
        <v>200</v>
      </c>
      <c r="K37" s="74">
        <f t="shared" si="38"/>
        <v>0</v>
      </c>
      <c r="L37" s="74">
        <f t="shared" si="38"/>
        <v>0</v>
      </c>
      <c r="M37" s="74">
        <f t="shared" si="38"/>
        <v>0</v>
      </c>
      <c r="N37" s="74">
        <f t="shared" si="38"/>
        <v>0</v>
      </c>
      <c r="O37" s="74">
        <f t="shared" si="38"/>
        <v>31.6</v>
      </c>
      <c r="P37" s="74">
        <f t="shared" si="38"/>
        <v>0</v>
      </c>
      <c r="Q37" s="74">
        <f t="shared" si="38"/>
        <v>0</v>
      </c>
      <c r="R37" s="74">
        <f t="shared" si="38"/>
        <v>0</v>
      </c>
      <c r="S37" s="74">
        <f t="shared" si="38"/>
        <v>0</v>
      </c>
      <c r="T37" s="74">
        <f>SUM(T8,T30,T31)</f>
        <v>1948.1000000000001</v>
      </c>
      <c r="U37" s="74">
        <f>SUM(U8,U30,U31)+U35</f>
        <v>1150.0999999999999</v>
      </c>
      <c r="V37" s="74">
        <f>SUM(V8,V30,V31)+V34</f>
        <v>6991.7</v>
      </c>
      <c r="W37" s="74">
        <f>SUM(W8,W30,W31)+W34</f>
        <v>2798.4</v>
      </c>
      <c r="X37" s="151">
        <f>SUM(C37,I37,O37,U37)</f>
        <v>1181.6999999999998</v>
      </c>
      <c r="Y37" s="74">
        <f>SUM(D37,J37,P37,V37)</f>
        <v>7191.7</v>
      </c>
      <c r="Z37" s="74">
        <f>SUM(H37,K37,T37,W37)</f>
        <v>4746.5</v>
      </c>
      <c r="AA37" s="74">
        <f t="shared" si="29"/>
        <v>-2445.1999999999998</v>
      </c>
      <c r="AB37" s="74">
        <f>Z37/Y37*100</f>
        <v>65.999694091800279</v>
      </c>
      <c r="AC37" s="152"/>
      <c r="AD37" s="152"/>
      <c r="AE37" s="152"/>
      <c r="AF37" s="153"/>
      <c r="AG37" s="153"/>
      <c r="AH37" s="152"/>
      <c r="AI37" s="152"/>
      <c r="AJ37" s="152"/>
      <c r="AK37" s="152"/>
      <c r="AL37" s="152"/>
      <c r="AM37" s="152"/>
      <c r="AN37" s="152"/>
    </row>
    <row r="38" spans="1:40" ht="20.100000000000001" customHeight="1">
      <c r="A38" s="150"/>
      <c r="B38" s="150"/>
      <c r="C38" s="168"/>
      <c r="D38" s="168"/>
      <c r="E38" s="168"/>
      <c r="F38" s="168"/>
      <c r="G38" s="168"/>
      <c r="H38" s="168"/>
      <c r="I38" s="168"/>
      <c r="J38" s="168"/>
      <c r="K38" s="168"/>
      <c r="L38" s="150"/>
      <c r="M38" s="150"/>
      <c r="N38" s="150"/>
      <c r="O38" s="150"/>
      <c r="P38" s="168"/>
      <c r="Q38" s="150"/>
      <c r="R38" s="150"/>
      <c r="S38" s="150"/>
      <c r="T38" s="150"/>
      <c r="U38" s="136"/>
      <c r="AF38" s="153"/>
      <c r="AG38" s="153"/>
      <c r="AH38" s="153"/>
      <c r="AI38" s="153"/>
      <c r="AJ38" s="153"/>
      <c r="AK38" s="153"/>
      <c r="AL38" s="153"/>
      <c r="AM38" s="153"/>
      <c r="AN38" s="153"/>
    </row>
    <row r="39" spans="1:40" ht="14.25" customHeight="1">
      <c r="A39" s="169"/>
      <c r="B39" s="169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36"/>
      <c r="P39" s="136"/>
      <c r="Q39" s="136"/>
      <c r="R39" s="136"/>
      <c r="S39" s="136"/>
      <c r="T39" s="136"/>
      <c r="U39" s="136"/>
      <c r="V39" s="136"/>
      <c r="W39" s="136"/>
    </row>
    <row r="40" spans="1:40" ht="19.5" hidden="1" customHeight="1">
      <c r="A40" s="169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36"/>
      <c r="P40" s="136"/>
      <c r="Q40" s="136"/>
      <c r="R40" s="136"/>
      <c r="S40" s="136"/>
      <c r="T40" s="136"/>
      <c r="U40" s="136"/>
      <c r="V40" s="136"/>
      <c r="W40" s="136"/>
    </row>
    <row r="41" spans="1:40" s="172" customFormat="1" ht="20.100000000000001" customHeight="1">
      <c r="A41" s="171"/>
      <c r="B41" s="171"/>
      <c r="C41" s="138"/>
      <c r="D41" s="138"/>
      <c r="E41" s="138"/>
      <c r="F41" s="138"/>
      <c r="G41" s="138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</row>
    <row r="42" spans="1:40" s="176" customFormat="1" ht="36" customHeight="1">
      <c r="A42" s="173"/>
      <c r="B42" s="380" t="s">
        <v>300</v>
      </c>
      <c r="C42" s="174"/>
      <c r="D42" s="174"/>
      <c r="E42" s="174"/>
      <c r="F42" s="174"/>
      <c r="G42" s="174"/>
      <c r="H42" s="531"/>
      <c r="I42" s="531"/>
      <c r="J42" s="175"/>
      <c r="K42" s="175"/>
      <c r="L42" s="175"/>
      <c r="M42" s="175"/>
      <c r="N42" s="175"/>
      <c r="O42" s="534"/>
      <c r="P42" s="534"/>
      <c r="T42" s="173"/>
      <c r="U42" s="173"/>
      <c r="V42" s="532" t="s">
        <v>420</v>
      </c>
      <c r="W42" s="532"/>
      <c r="X42" s="532"/>
      <c r="Y42" s="532"/>
      <c r="Z42" s="532"/>
    </row>
    <row r="43" spans="1:40" s="172" customFormat="1" ht="27" customHeight="1">
      <c r="A43" s="171"/>
      <c r="B43" s="177"/>
      <c r="C43" s="178"/>
      <c r="D43" s="178"/>
      <c r="E43" s="178"/>
      <c r="F43" s="178"/>
      <c r="G43" s="178"/>
      <c r="H43" s="134"/>
      <c r="I43" s="178"/>
      <c r="J43" s="178"/>
      <c r="K43" s="178"/>
      <c r="L43" s="178"/>
      <c r="M43" s="171"/>
      <c r="N43" s="171"/>
      <c r="O43" s="535" t="s">
        <v>13</v>
      </c>
      <c r="P43" s="535"/>
      <c r="T43" s="171"/>
      <c r="U43" s="171"/>
      <c r="V43" s="533" t="s">
        <v>18</v>
      </c>
      <c r="W43" s="533"/>
      <c r="X43" s="533"/>
      <c r="Y43" s="533"/>
      <c r="Z43" s="533"/>
    </row>
    <row r="44" spans="1:40" ht="20.100000000000001" customHeight="1">
      <c r="A44" s="136"/>
      <c r="B44" s="179"/>
      <c r="C44" s="179"/>
      <c r="D44" s="180"/>
      <c r="E44" s="180"/>
      <c r="F44" s="180"/>
      <c r="G44" s="180"/>
      <c r="H44" s="180"/>
      <c r="I44" s="180"/>
      <c r="J44" s="180"/>
      <c r="K44" s="180"/>
      <c r="L44" s="180"/>
      <c r="M44" s="179"/>
      <c r="N44" s="179"/>
      <c r="O44" s="136"/>
      <c r="P44" s="136"/>
      <c r="Q44" s="136"/>
      <c r="R44" s="136"/>
      <c r="S44" s="136"/>
      <c r="T44" s="136"/>
      <c r="U44" s="136"/>
      <c r="V44" s="136"/>
      <c r="W44" s="136"/>
    </row>
    <row r="45" spans="1:40" ht="20.100000000000001" customHeight="1">
      <c r="A45" s="136"/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36"/>
      <c r="P45" s="136"/>
      <c r="Q45" s="136"/>
      <c r="R45" s="136"/>
      <c r="S45" s="136"/>
      <c r="T45" s="136"/>
      <c r="U45" s="136"/>
      <c r="V45" s="136"/>
      <c r="W45" s="136"/>
    </row>
    <row r="46" spans="1:40">
      <c r="A46" s="136"/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36"/>
      <c r="P46" s="136"/>
      <c r="Q46" s="136"/>
      <c r="R46" s="136"/>
      <c r="S46" s="136"/>
      <c r="T46" s="136"/>
      <c r="U46" s="136"/>
      <c r="V46" s="136"/>
      <c r="W46" s="136"/>
    </row>
    <row r="47" spans="1:40" s="530" customFormat="1" ht="19.149999999999999" customHeight="1">
      <c r="A47" s="529" t="s">
        <v>81</v>
      </c>
    </row>
    <row r="50" spans="2:2">
      <c r="B50" s="181"/>
    </row>
    <row r="51" spans="2:2">
      <c r="B51" s="181"/>
    </row>
    <row r="52" spans="2:2">
      <c r="B52" s="181"/>
    </row>
    <row r="53" spans="2:2">
      <c r="B53" s="181"/>
    </row>
    <row r="54" spans="2:2">
      <c r="B54" s="181"/>
    </row>
    <row r="55" spans="2:2">
      <c r="B55" s="181"/>
    </row>
    <row r="56" spans="2:2">
      <c r="B56" s="181"/>
    </row>
  </sheetData>
  <mergeCells count="37">
    <mergeCell ref="A4:A6"/>
    <mergeCell ref="C4:H4"/>
    <mergeCell ref="I4:K4"/>
    <mergeCell ref="O4:T4"/>
    <mergeCell ref="P5:P6"/>
    <mergeCell ref="Q5:T6"/>
    <mergeCell ref="Z5:Z6"/>
    <mergeCell ref="X4:AB4"/>
    <mergeCell ref="AF4:AJ4"/>
    <mergeCell ref="C5:C6"/>
    <mergeCell ref="D5:G6"/>
    <mergeCell ref="H5:H6"/>
    <mergeCell ref="I5:I6"/>
    <mergeCell ref="J5:J6"/>
    <mergeCell ref="K5:N6"/>
    <mergeCell ref="O5:O6"/>
    <mergeCell ref="U4:W4"/>
    <mergeCell ref="U5:U6"/>
    <mergeCell ref="V5:V6"/>
    <mergeCell ref="W5:W6"/>
    <mergeCell ref="X5:X6"/>
    <mergeCell ref="Y5:Y6"/>
    <mergeCell ref="AM5:AM6"/>
    <mergeCell ref="AN5:AN6"/>
    <mergeCell ref="AK5:AK6"/>
    <mergeCell ref="AL5:AL6"/>
    <mergeCell ref="AA5:AA6"/>
    <mergeCell ref="AB5:AB6"/>
    <mergeCell ref="AF5:AF6"/>
    <mergeCell ref="AG5:AJ6"/>
    <mergeCell ref="A37:B37"/>
    <mergeCell ref="A47:XFD47"/>
    <mergeCell ref="H42:I42"/>
    <mergeCell ref="V42:Z42"/>
    <mergeCell ref="V43:Z43"/>
    <mergeCell ref="O42:P42"/>
    <mergeCell ref="O43:P43"/>
  </mergeCells>
  <pageMargins left="0.59055118110236227" right="0.59055118110236227" top="0.78740157480314965" bottom="0.39370078740157483" header="0.47244094488188981" footer="0.31496062992125984"/>
  <pageSetup paperSize="9" scale="35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11</vt:i4>
      </vt:variant>
    </vt:vector>
  </HeadingPairs>
  <TitlesOfParts>
    <vt:vector size="17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 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до руху'!Заголовки_для_печати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до руху'!Область_печати</vt:lpstr>
      <vt:lpstr>'Розшифровка за джерелами 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Натали</cp:lastModifiedBy>
  <cp:lastPrinted>2023-04-12T11:38:47Z</cp:lastPrinted>
  <dcterms:created xsi:type="dcterms:W3CDTF">2003-03-13T16:00:22Z</dcterms:created>
  <dcterms:modified xsi:type="dcterms:W3CDTF">2023-10-26T06:19:29Z</dcterms:modified>
</cp:coreProperties>
</file>